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75" windowWidth="19320" windowHeight="11460" activeTab="1"/>
  </bookViews>
  <sheets>
    <sheet name="1915" sheetId="28" r:id="rId1"/>
    <sheet name="1953-54" sheetId="26" r:id="rId2"/>
    <sheet name="1954-55" sheetId="25" r:id="rId3"/>
    <sheet name="1955-56" sheetId="24" r:id="rId4"/>
    <sheet name="1956-57" sheetId="23" r:id="rId5"/>
    <sheet name="1957-58" sheetId="22" r:id="rId6"/>
    <sheet name="1958-59" sheetId="21" r:id="rId7"/>
    <sheet name="1959-60" sheetId="1" r:id="rId8"/>
    <sheet name="1960-61" sheetId="2" r:id="rId9"/>
    <sheet name="1961-62" sheetId="3" r:id="rId10"/>
    <sheet name="1962-63" sheetId="4" r:id="rId11"/>
    <sheet name="1963-64" sheetId="5" r:id="rId12"/>
    <sheet name="1964-65" sheetId="6" r:id="rId13"/>
    <sheet name="1965-66" sheetId="7" r:id="rId14"/>
    <sheet name="1966" sheetId="32" r:id="rId15"/>
    <sheet name="1966-67" sheetId="8" r:id="rId16"/>
    <sheet name="1967-68" sheetId="9" r:id="rId17"/>
    <sheet name="1968-69" sheetId="10" r:id="rId18"/>
    <sheet name="1969-70" sheetId="11" r:id="rId19"/>
    <sheet name="1970-71" sheetId="12" r:id="rId20"/>
    <sheet name="1971-72" sheetId="13" r:id="rId21"/>
    <sheet name="1972-73" sheetId="14" r:id="rId22"/>
    <sheet name="1973-74" sheetId="15" r:id="rId23"/>
    <sheet name="1974-75" sheetId="16" r:id="rId24"/>
    <sheet name="1975-76" sheetId="17" r:id="rId25"/>
    <sheet name="1976-77" sheetId="18" r:id="rId26"/>
    <sheet name="1977-78" sheetId="19" r:id="rId27"/>
    <sheet name="1978-79" sheetId="20" r:id="rId28"/>
    <sheet name="2006" sheetId="29" r:id="rId29"/>
    <sheet name="2002" sheetId="27" r:id="rId30"/>
    <sheet name="2010" sheetId="30" r:id="rId31"/>
    <sheet name="Sheet1" sheetId="33" r:id="rId32"/>
  </sheets>
  <calcPr calcId="145621"/>
</workbook>
</file>

<file path=xl/calcChain.xml><?xml version="1.0" encoding="utf-8"?>
<calcChain xmlns="http://schemas.openxmlformats.org/spreadsheetml/2006/main">
  <c r="C96" i="26" l="1"/>
  <c r="C95" i="26"/>
  <c r="B96" i="26"/>
  <c r="B95" i="26"/>
  <c r="C86" i="1"/>
  <c r="S81" i="1" l="1"/>
  <c r="S83" i="26"/>
  <c r="S78" i="26"/>
  <c r="Q7" i="25"/>
  <c r="Q8" i="25"/>
  <c r="Q9" i="25"/>
  <c r="Q10" i="25"/>
  <c r="Q11" i="25"/>
  <c r="L76" i="3" l="1"/>
  <c r="P75" i="26"/>
  <c r="P76" i="26" s="1"/>
  <c r="P77" i="26" s="1"/>
  <c r="P78" i="26" s="1"/>
  <c r="P74" i="26"/>
  <c r="P34" i="26"/>
  <c r="P35" i="26" s="1"/>
  <c r="P36" i="26" s="1"/>
  <c r="P37" i="26" s="1"/>
  <c r="P33" i="26"/>
  <c r="P75" i="25"/>
  <c r="P76" i="25" s="1"/>
  <c r="P77" i="25" s="1"/>
  <c r="P78" i="25" s="1"/>
  <c r="P74" i="25"/>
  <c r="P34" i="25"/>
  <c r="P35" i="25" s="1"/>
  <c r="P36" i="25" s="1"/>
  <c r="P37" i="25" s="1"/>
  <c r="P33" i="25"/>
  <c r="P34" i="24"/>
  <c r="P35" i="24" s="1"/>
  <c r="P36" i="24" s="1"/>
  <c r="P37" i="24" s="1"/>
  <c r="P33" i="24"/>
  <c r="P75" i="23"/>
  <c r="P76" i="23" s="1"/>
  <c r="P77" i="23" s="1"/>
  <c r="P78" i="23" s="1"/>
  <c r="P74" i="23"/>
  <c r="P34" i="23"/>
  <c r="P35" i="23" s="1"/>
  <c r="P36" i="23" s="1"/>
  <c r="P37" i="23" s="1"/>
  <c r="P33" i="23"/>
  <c r="P76" i="22"/>
  <c r="P77" i="22" s="1"/>
  <c r="P78" i="22" s="1"/>
  <c r="P79" i="22" s="1"/>
  <c r="P75" i="22"/>
  <c r="P36" i="22"/>
  <c r="P37" i="22" s="1"/>
  <c r="P38" i="22" s="1"/>
  <c r="P35" i="22"/>
  <c r="P34" i="22"/>
  <c r="P33" i="2"/>
  <c r="P33" i="21"/>
  <c r="P74" i="21"/>
  <c r="P78" i="21"/>
  <c r="P78" i="1"/>
  <c r="P77" i="21"/>
  <c r="P77" i="1"/>
  <c r="P76" i="1"/>
  <c r="P76" i="21"/>
  <c r="P75" i="21"/>
  <c r="P75" i="1"/>
  <c r="P74" i="1"/>
  <c r="P37" i="21"/>
  <c r="P37" i="1"/>
  <c r="P36" i="21"/>
  <c r="P36" i="1"/>
  <c r="P35" i="21"/>
  <c r="P35" i="1"/>
  <c r="P34" i="21"/>
  <c r="P34" i="1"/>
  <c r="P33" i="1"/>
  <c r="P42" i="1"/>
  <c r="P41" i="1"/>
  <c r="P32" i="2"/>
  <c r="M34" i="1" l="1"/>
  <c r="F85" i="21"/>
  <c r="F86" i="22"/>
  <c r="F85" i="23"/>
  <c r="F85" i="25"/>
  <c r="F85" i="26"/>
  <c r="C28" i="32" l="1"/>
  <c r="D28" i="32"/>
  <c r="Q28" i="32" l="1"/>
  <c r="P73" i="7"/>
  <c r="O28" i="32"/>
  <c r="M74" i="7"/>
  <c r="M75" i="7"/>
  <c r="J28" i="32"/>
  <c r="I28" i="32"/>
  <c r="G28" i="32"/>
  <c r="H28" i="32" s="1"/>
  <c r="K28" i="32" s="1"/>
  <c r="I18" i="32"/>
  <c r="I17" i="32"/>
  <c r="I16" i="32"/>
  <c r="I15" i="32"/>
  <c r="I14" i="32"/>
  <c r="H14" i="32"/>
  <c r="H15" i="32"/>
  <c r="H16" i="32"/>
  <c r="H17" i="32"/>
  <c r="H18" i="32"/>
  <c r="G19" i="32"/>
  <c r="G6" i="32"/>
  <c r="G7" i="32"/>
  <c r="G8" i="32"/>
  <c r="G9" i="32"/>
  <c r="G10" i="32"/>
  <c r="G11" i="32"/>
  <c r="G12" i="32"/>
  <c r="G13" i="32"/>
  <c r="G14" i="32"/>
  <c r="G15" i="32"/>
  <c r="G16" i="32"/>
  <c r="G17" i="32"/>
  <c r="G18" i="32"/>
  <c r="G5" i="32"/>
  <c r="E12" i="32"/>
  <c r="E13" i="32"/>
  <c r="E14" i="32"/>
  <c r="E15" i="32"/>
  <c r="E16" i="32"/>
  <c r="E17" i="32"/>
  <c r="E18" i="32"/>
  <c r="D6" i="32"/>
  <c r="D7" i="32"/>
  <c r="D8" i="32"/>
  <c r="D9" i="32"/>
  <c r="D10" i="32"/>
  <c r="D11" i="32"/>
  <c r="D12" i="32"/>
  <c r="D13" i="32"/>
  <c r="D14" i="32"/>
  <c r="D15" i="32"/>
  <c r="D16" i="32"/>
  <c r="D17" i="32"/>
  <c r="D18" i="32"/>
  <c r="D5" i="32"/>
  <c r="L28" i="32" l="1"/>
  <c r="M28" i="32"/>
  <c r="E16" i="27"/>
  <c r="E15" i="27"/>
  <c r="C16" i="27"/>
  <c r="N28" i="32" l="1"/>
  <c r="P28" i="32" s="1"/>
  <c r="C15" i="29"/>
  <c r="E15" i="29"/>
  <c r="E14" i="29"/>
  <c r="S28" i="32" l="1"/>
  <c r="R28" i="32"/>
  <c r="S67" i="28"/>
  <c r="S68" i="28"/>
  <c r="S69" i="28"/>
  <c r="S70" i="28"/>
  <c r="S71" i="28"/>
  <c r="S66" i="28"/>
  <c r="P68" i="28"/>
  <c r="P69" i="28" s="1"/>
  <c r="P67" i="28"/>
  <c r="R67" i="28"/>
  <c r="R66" i="28"/>
  <c r="Q67" i="28"/>
  <c r="Q68" i="28"/>
  <c r="Q69" i="28"/>
  <c r="Q70" i="28"/>
  <c r="Q71" i="28"/>
  <c r="Q66" i="28"/>
  <c r="P66" i="28"/>
  <c r="P29" i="28"/>
  <c r="N67" i="28"/>
  <c r="N68" i="28"/>
  <c r="N69" i="28"/>
  <c r="N70" i="28"/>
  <c r="N71" i="28"/>
  <c r="N66" i="28"/>
  <c r="M67" i="28"/>
  <c r="M68" i="28"/>
  <c r="M69" i="28"/>
  <c r="M70" i="28"/>
  <c r="M71" i="28"/>
  <c r="M66" i="28"/>
  <c r="M29" i="28"/>
  <c r="L67" i="28"/>
  <c r="L68" i="28"/>
  <c r="L69" i="28"/>
  <c r="L70" i="28"/>
  <c r="L71" i="28"/>
  <c r="L66" i="28"/>
  <c r="L29" i="28"/>
  <c r="K67" i="28"/>
  <c r="K68" i="28"/>
  <c r="K69" i="28"/>
  <c r="K70" i="28"/>
  <c r="K71" i="28"/>
  <c r="K66" i="28"/>
  <c r="J67" i="28"/>
  <c r="J68" i="28"/>
  <c r="J69" i="28"/>
  <c r="J70" i="28"/>
  <c r="J71" i="28"/>
  <c r="J66" i="28"/>
  <c r="I67" i="28"/>
  <c r="I68" i="28"/>
  <c r="I69" i="28"/>
  <c r="I70" i="28"/>
  <c r="I71" i="28"/>
  <c r="I66" i="28"/>
  <c r="H67" i="28"/>
  <c r="H68" i="28"/>
  <c r="H69" i="28"/>
  <c r="H70" i="28"/>
  <c r="H71" i="28"/>
  <c r="H66" i="28"/>
  <c r="G67" i="28"/>
  <c r="G68" i="28"/>
  <c r="G69" i="28"/>
  <c r="G70" i="28"/>
  <c r="G71" i="28"/>
  <c r="G66" i="28"/>
  <c r="D71" i="28"/>
  <c r="C71" i="28"/>
  <c r="D70" i="28"/>
  <c r="C70" i="28"/>
  <c r="D69" i="28"/>
  <c r="C69" i="28"/>
  <c r="D68" i="28"/>
  <c r="C68" i="28"/>
  <c r="D67" i="28"/>
  <c r="C67" i="28"/>
  <c r="D66" i="28"/>
  <c r="C66" i="28"/>
  <c r="H59" i="28"/>
  <c r="F58" i="28"/>
  <c r="F57" i="28" s="1"/>
  <c r="C59" i="28"/>
  <c r="E59" i="28" s="1"/>
  <c r="Q35" i="28"/>
  <c r="I35" i="28"/>
  <c r="J35" i="28" s="1"/>
  <c r="I29" i="28"/>
  <c r="Q34" i="28"/>
  <c r="I34" i="28"/>
  <c r="J34" i="28" s="1"/>
  <c r="P74" i="20"/>
  <c r="Q33" i="28"/>
  <c r="I33" i="28"/>
  <c r="J33" i="28" s="1"/>
  <c r="Q31" i="28"/>
  <c r="I31" i="28"/>
  <c r="J31" i="28" s="1"/>
  <c r="Q30" i="28"/>
  <c r="I30" i="28"/>
  <c r="J30" i="28" s="1"/>
  <c r="Q29" i="28"/>
  <c r="P32" i="26"/>
  <c r="M32" i="26"/>
  <c r="L34" i="26"/>
  <c r="J29" i="28"/>
  <c r="F20" i="28"/>
  <c r="H20" i="28" s="1"/>
  <c r="H21" i="28"/>
  <c r="B22" i="28"/>
  <c r="C21" i="28"/>
  <c r="E21" i="28" s="1"/>
  <c r="C29" i="28" s="1"/>
  <c r="P70" i="28" l="1"/>
  <c r="R69" i="28"/>
  <c r="R68" i="28"/>
  <c r="H57" i="28"/>
  <c r="F56" i="28"/>
  <c r="C20" i="28"/>
  <c r="E20" i="28" s="1"/>
  <c r="C30" i="28" s="1"/>
  <c r="H58" i="28"/>
  <c r="C58" i="28"/>
  <c r="F19" i="28"/>
  <c r="P71" i="28" l="1"/>
  <c r="R71" i="28" s="1"/>
  <c r="R70" i="28"/>
  <c r="D29" i="28"/>
  <c r="G29" i="28" s="1"/>
  <c r="H29" i="28" s="1"/>
  <c r="K29" i="28" s="1"/>
  <c r="C19" i="28"/>
  <c r="F55" i="28"/>
  <c r="H56" i="28"/>
  <c r="C57" i="28"/>
  <c r="E58" i="28"/>
  <c r="H19" i="28"/>
  <c r="F18" i="28"/>
  <c r="E19" i="28"/>
  <c r="C18" i="28"/>
  <c r="E57" i="28" l="1"/>
  <c r="C56" i="28"/>
  <c r="H55" i="28"/>
  <c r="F54" i="28"/>
  <c r="L33" i="26"/>
  <c r="E18" i="28"/>
  <c r="D31" i="28" s="1"/>
  <c r="C17" i="28"/>
  <c r="N29" i="28"/>
  <c r="H18" i="28"/>
  <c r="F17" i="28"/>
  <c r="C31" i="28"/>
  <c r="D30" i="28"/>
  <c r="E5" i="30"/>
  <c r="D5" i="30"/>
  <c r="E5" i="29"/>
  <c r="D5" i="29"/>
  <c r="F53" i="28" l="1"/>
  <c r="H54" i="28"/>
  <c r="C55" i="28"/>
  <c r="E56" i="28"/>
  <c r="S29" i="28"/>
  <c r="R29" i="28"/>
  <c r="G30" i="28"/>
  <c r="H30" i="28" s="1"/>
  <c r="K30" i="28" s="1"/>
  <c r="L30" i="28" s="1"/>
  <c r="H17" i="28"/>
  <c r="F16" i="28"/>
  <c r="E17" i="28"/>
  <c r="C33" i="28" s="1"/>
  <c r="C16" i="28"/>
  <c r="G31" i="28"/>
  <c r="H31" i="28" s="1"/>
  <c r="K31" i="28" s="1"/>
  <c r="K78" i="26"/>
  <c r="L78" i="26" s="1"/>
  <c r="M78" i="26"/>
  <c r="Q78" i="26"/>
  <c r="G78" i="26"/>
  <c r="H78" i="26" s="1"/>
  <c r="D78" i="26"/>
  <c r="C78" i="26"/>
  <c r="I78" i="26"/>
  <c r="J78" i="26" s="1"/>
  <c r="K77" i="26"/>
  <c r="L77" i="26" s="1"/>
  <c r="M77" i="26"/>
  <c r="Q77" i="26"/>
  <c r="G77" i="26"/>
  <c r="H77" i="26" s="1"/>
  <c r="D77" i="26"/>
  <c r="C77" i="26"/>
  <c r="I77" i="26"/>
  <c r="J77" i="26" s="1"/>
  <c r="G76" i="26"/>
  <c r="H76" i="26" s="1"/>
  <c r="K76" i="26" s="1"/>
  <c r="I76" i="26"/>
  <c r="J76" i="26" s="1"/>
  <c r="Q76" i="26"/>
  <c r="D76" i="26"/>
  <c r="C76" i="26"/>
  <c r="G75" i="26"/>
  <c r="H75" i="26" s="1"/>
  <c r="K75" i="26" s="1"/>
  <c r="I75" i="26"/>
  <c r="J75" i="26" s="1"/>
  <c r="Q75" i="26"/>
  <c r="D75" i="26"/>
  <c r="C75" i="26"/>
  <c r="G74" i="26"/>
  <c r="H74" i="26"/>
  <c r="K74" i="26" s="1"/>
  <c r="I74" i="26"/>
  <c r="J74" i="26"/>
  <c r="Q74" i="26"/>
  <c r="Q73" i="26"/>
  <c r="J73" i="26"/>
  <c r="I73" i="26"/>
  <c r="H73" i="26"/>
  <c r="K73" i="26" s="1"/>
  <c r="G73" i="26"/>
  <c r="D73" i="26"/>
  <c r="C73" i="26"/>
  <c r="S54" i="26"/>
  <c r="Q54" i="26"/>
  <c r="S56" i="26"/>
  <c r="S57" i="26"/>
  <c r="S58" i="26"/>
  <c r="S59" i="26"/>
  <c r="S60" i="26"/>
  <c r="S61" i="26"/>
  <c r="S62" i="26"/>
  <c r="S63" i="26"/>
  <c r="S64" i="26"/>
  <c r="S55" i="26"/>
  <c r="Q64" i="26"/>
  <c r="Q63" i="26"/>
  <c r="Q62" i="26"/>
  <c r="Q61" i="26"/>
  <c r="Q60" i="26"/>
  <c r="Q59" i="26" s="1"/>
  <c r="Q58" i="26" s="1"/>
  <c r="Q57" i="26" s="1"/>
  <c r="Q56" i="26" s="1"/>
  <c r="Q55" i="26" s="1"/>
  <c r="P51" i="26"/>
  <c r="P52" i="26"/>
  <c r="P53" i="26"/>
  <c r="P54" i="26"/>
  <c r="P55" i="26"/>
  <c r="P56" i="26"/>
  <c r="P57" i="26"/>
  <c r="P58" i="26"/>
  <c r="P59" i="26"/>
  <c r="P60" i="26"/>
  <c r="P61" i="26"/>
  <c r="P62" i="26"/>
  <c r="P63" i="26"/>
  <c r="P64" i="26"/>
  <c r="P65" i="26"/>
  <c r="P50" i="26"/>
  <c r="K37" i="26"/>
  <c r="L37" i="26" s="1"/>
  <c r="M37" i="26"/>
  <c r="Q37" i="26"/>
  <c r="G37" i="26"/>
  <c r="H37" i="26" s="1"/>
  <c r="D37" i="26"/>
  <c r="C37" i="26"/>
  <c r="I37" i="26"/>
  <c r="J37" i="26" s="1"/>
  <c r="G36" i="26"/>
  <c r="H36" i="26" s="1"/>
  <c r="K36" i="26" s="1"/>
  <c r="I36" i="26"/>
  <c r="J36" i="26" s="1"/>
  <c r="Q36" i="26"/>
  <c r="D36" i="26"/>
  <c r="C36" i="26"/>
  <c r="G35" i="26"/>
  <c r="H35" i="26" s="1"/>
  <c r="K35" i="26" s="1"/>
  <c r="I35" i="26"/>
  <c r="J35" i="26" s="1"/>
  <c r="Q35" i="26"/>
  <c r="D35" i="26"/>
  <c r="C35" i="26"/>
  <c r="G34" i="26"/>
  <c r="H34" i="26" s="1"/>
  <c r="K34" i="26" s="1"/>
  <c r="I34" i="26"/>
  <c r="J34" i="26" s="1"/>
  <c r="Q34" i="26"/>
  <c r="D34" i="26"/>
  <c r="C34" i="26"/>
  <c r="Q32" i="26"/>
  <c r="N32" i="26"/>
  <c r="Q33" i="26"/>
  <c r="J33" i="26"/>
  <c r="I33" i="26"/>
  <c r="H33" i="26"/>
  <c r="K33" i="26" s="1"/>
  <c r="G33" i="26"/>
  <c r="D33" i="26"/>
  <c r="C33" i="26"/>
  <c r="S13" i="26"/>
  <c r="S14" i="26"/>
  <c r="S15" i="26"/>
  <c r="S16" i="26"/>
  <c r="S17" i="26"/>
  <c r="S18" i="26"/>
  <c r="S19" i="26"/>
  <c r="S20" i="26"/>
  <c r="S21" i="26"/>
  <c r="S12" i="26"/>
  <c r="Q21" i="26"/>
  <c r="Q20" i="26"/>
  <c r="Q19" i="26"/>
  <c r="Q18" i="26"/>
  <c r="Q17" i="26"/>
  <c r="Q16" i="26" s="1"/>
  <c r="Q15" i="26" s="1"/>
  <c r="Q14" i="26" s="1"/>
  <c r="Q13" i="26" s="1"/>
  <c r="Q12" i="26" s="1"/>
  <c r="P8" i="26"/>
  <c r="P9" i="26"/>
  <c r="P10" i="26"/>
  <c r="P11" i="26"/>
  <c r="P12" i="26"/>
  <c r="P13" i="26"/>
  <c r="P14" i="26"/>
  <c r="P15" i="26"/>
  <c r="P16" i="26"/>
  <c r="P17" i="26"/>
  <c r="P18" i="26"/>
  <c r="P19" i="26"/>
  <c r="P20" i="26"/>
  <c r="P21" i="26"/>
  <c r="P22" i="26"/>
  <c r="P7" i="26"/>
  <c r="B85" i="25"/>
  <c r="K78" i="25"/>
  <c r="L78" i="25" s="1"/>
  <c r="M78" i="25"/>
  <c r="Q78" i="25"/>
  <c r="G78" i="25"/>
  <c r="H78" i="25" s="1"/>
  <c r="D78" i="25"/>
  <c r="C78" i="25"/>
  <c r="I78" i="25"/>
  <c r="J78" i="25" s="1"/>
  <c r="K77" i="25"/>
  <c r="L77" i="25" s="1"/>
  <c r="M77" i="25"/>
  <c r="Q77" i="25"/>
  <c r="G77" i="25"/>
  <c r="H77" i="25" s="1"/>
  <c r="D77" i="25"/>
  <c r="C77" i="25"/>
  <c r="I77" i="25"/>
  <c r="J77" i="25" s="1"/>
  <c r="G76" i="25"/>
  <c r="H76" i="25" s="1"/>
  <c r="K76" i="25" s="1"/>
  <c r="I76" i="25"/>
  <c r="J76" i="25" s="1"/>
  <c r="Q76" i="25"/>
  <c r="D76" i="25"/>
  <c r="C76" i="25"/>
  <c r="G75" i="25"/>
  <c r="H75" i="25" s="1"/>
  <c r="K75" i="25" s="1"/>
  <c r="I75" i="25"/>
  <c r="J75" i="25" s="1"/>
  <c r="Q75" i="25"/>
  <c r="D75" i="25"/>
  <c r="C75" i="25"/>
  <c r="G74" i="25"/>
  <c r="H74" i="25" s="1"/>
  <c r="K74" i="25" s="1"/>
  <c r="I74" i="25"/>
  <c r="J74" i="25" s="1"/>
  <c r="Q74" i="25"/>
  <c r="Q73" i="25"/>
  <c r="J73" i="25"/>
  <c r="I73" i="25"/>
  <c r="H73" i="25"/>
  <c r="K73" i="25" s="1"/>
  <c r="G73" i="25"/>
  <c r="D73" i="25"/>
  <c r="C73" i="25"/>
  <c r="S56" i="25"/>
  <c r="S57" i="25"/>
  <c r="S58" i="25"/>
  <c r="S59" i="25"/>
  <c r="S60" i="25"/>
  <c r="S61" i="25"/>
  <c r="S62" i="25"/>
  <c r="S63" i="25"/>
  <c r="S64" i="25"/>
  <c r="S55" i="25"/>
  <c r="Q64" i="25"/>
  <c r="Q63" i="25"/>
  <c r="Q62" i="25"/>
  <c r="Q61" i="25"/>
  <c r="Q60" i="25"/>
  <c r="Q59" i="25" s="1"/>
  <c r="Q58" i="25" s="1"/>
  <c r="Q57" i="25" s="1"/>
  <c r="Q56" i="25" s="1"/>
  <c r="Q55" i="25" s="1"/>
  <c r="P51" i="25"/>
  <c r="P52" i="25"/>
  <c r="P53" i="25"/>
  <c r="P54" i="25"/>
  <c r="P55" i="25"/>
  <c r="P56" i="25"/>
  <c r="P57" i="25"/>
  <c r="P58" i="25"/>
  <c r="P59" i="25"/>
  <c r="P60" i="25"/>
  <c r="P61" i="25"/>
  <c r="P62" i="25"/>
  <c r="P63" i="25"/>
  <c r="P64" i="25"/>
  <c r="P65" i="25"/>
  <c r="P50" i="25"/>
  <c r="K37" i="25"/>
  <c r="L37" i="25" s="1"/>
  <c r="M37" i="25"/>
  <c r="Q37" i="25"/>
  <c r="G37" i="25"/>
  <c r="H37" i="25" s="1"/>
  <c r="D37" i="25"/>
  <c r="C37" i="25"/>
  <c r="I37" i="25"/>
  <c r="J37" i="25" s="1"/>
  <c r="K36" i="25"/>
  <c r="L36" i="25" s="1"/>
  <c r="M36" i="25"/>
  <c r="Q36" i="25"/>
  <c r="I36" i="25"/>
  <c r="J36" i="25" s="1"/>
  <c r="I35" i="25"/>
  <c r="J35" i="25" s="1"/>
  <c r="Q35" i="25"/>
  <c r="I34" i="25"/>
  <c r="J34" i="25" s="1"/>
  <c r="Q34" i="25"/>
  <c r="G33" i="25"/>
  <c r="H33" i="25" s="1"/>
  <c r="I33" i="25"/>
  <c r="J33" i="25" s="1"/>
  <c r="Q33" i="25"/>
  <c r="Q32" i="25"/>
  <c r="I32" i="25"/>
  <c r="J32" i="25" s="1"/>
  <c r="P8" i="25"/>
  <c r="P9" i="25"/>
  <c r="P10" i="25"/>
  <c r="P11" i="25"/>
  <c r="P12" i="25"/>
  <c r="P13" i="25"/>
  <c r="P14" i="25"/>
  <c r="P15" i="25"/>
  <c r="P16" i="25"/>
  <c r="P17" i="25"/>
  <c r="Q17" i="25" s="1"/>
  <c r="P18" i="25"/>
  <c r="Q18" i="25" s="1"/>
  <c r="S18" i="25" s="1"/>
  <c r="P19" i="25"/>
  <c r="P20" i="25"/>
  <c r="Q19" i="25" s="1"/>
  <c r="S19" i="25" s="1"/>
  <c r="C34" i="25" s="1"/>
  <c r="P21" i="25"/>
  <c r="Q20" i="25" s="1"/>
  <c r="S20" i="25" s="1"/>
  <c r="D32" i="25" s="1"/>
  <c r="P7" i="25"/>
  <c r="K78" i="24"/>
  <c r="L78" i="24" s="1"/>
  <c r="M78" i="24"/>
  <c r="Q78" i="24"/>
  <c r="G78" i="24"/>
  <c r="H78" i="24" s="1"/>
  <c r="D78" i="24"/>
  <c r="C78" i="24"/>
  <c r="I78" i="24"/>
  <c r="J78" i="24" s="1"/>
  <c r="K77" i="24"/>
  <c r="L77" i="24" s="1"/>
  <c r="M77" i="24"/>
  <c r="Q77" i="24"/>
  <c r="G77" i="24"/>
  <c r="H77" i="24" s="1"/>
  <c r="D77" i="24"/>
  <c r="C77" i="24"/>
  <c r="I77" i="24"/>
  <c r="J77" i="24" s="1"/>
  <c r="G76" i="24"/>
  <c r="H76" i="24" s="1"/>
  <c r="K76" i="24" s="1"/>
  <c r="I76" i="24"/>
  <c r="J76" i="24" s="1"/>
  <c r="Q76" i="24"/>
  <c r="D76" i="24"/>
  <c r="C76" i="24"/>
  <c r="G75" i="24"/>
  <c r="H75" i="24" s="1"/>
  <c r="K75" i="24" s="1"/>
  <c r="I75" i="24"/>
  <c r="J75" i="24" s="1"/>
  <c r="Q75" i="24"/>
  <c r="D75" i="24"/>
  <c r="C75" i="24"/>
  <c r="G74" i="24"/>
  <c r="H74" i="24" s="1"/>
  <c r="K74" i="24" s="1"/>
  <c r="I74" i="24"/>
  <c r="J74" i="24" s="1"/>
  <c r="Q74" i="24"/>
  <c r="D74" i="24"/>
  <c r="C74" i="24"/>
  <c r="Q73" i="24"/>
  <c r="J73" i="24"/>
  <c r="I73" i="24"/>
  <c r="H73" i="24"/>
  <c r="G73" i="24"/>
  <c r="D73" i="24"/>
  <c r="C73" i="24"/>
  <c r="S56" i="24"/>
  <c r="S57" i="24"/>
  <c r="S58" i="24"/>
  <c r="S59" i="24"/>
  <c r="S60" i="24"/>
  <c r="S61" i="24"/>
  <c r="S62" i="24"/>
  <c r="S63" i="24"/>
  <c r="S64" i="24"/>
  <c r="S55" i="24"/>
  <c r="Q64" i="24"/>
  <c r="Q63" i="24"/>
  <c r="Q62" i="24"/>
  <c r="Q61" i="24"/>
  <c r="Q60" i="24"/>
  <c r="Q59" i="24" s="1"/>
  <c r="Q58" i="24" s="1"/>
  <c r="Q57" i="24" s="1"/>
  <c r="Q56" i="24" s="1"/>
  <c r="Q55" i="24" s="1"/>
  <c r="P51" i="24"/>
  <c r="P52" i="24"/>
  <c r="P53" i="24"/>
  <c r="P54" i="24"/>
  <c r="P55" i="24"/>
  <c r="P56" i="24"/>
  <c r="P57" i="24"/>
  <c r="P58" i="24"/>
  <c r="P59" i="24"/>
  <c r="P60" i="24"/>
  <c r="P61" i="24"/>
  <c r="P62" i="24"/>
  <c r="P63" i="24"/>
  <c r="P64" i="24"/>
  <c r="P65" i="24"/>
  <c r="P50" i="24"/>
  <c r="K37" i="24"/>
  <c r="L37" i="24" s="1"/>
  <c r="M37" i="24"/>
  <c r="Q37" i="24"/>
  <c r="G37" i="24"/>
  <c r="H37" i="24" s="1"/>
  <c r="D37" i="24"/>
  <c r="C37" i="24"/>
  <c r="I37" i="24"/>
  <c r="J37" i="24" s="1"/>
  <c r="G36" i="24"/>
  <c r="H36" i="24"/>
  <c r="K36" i="24" s="1"/>
  <c r="I36" i="24"/>
  <c r="J36" i="24"/>
  <c r="Q36" i="24"/>
  <c r="D36" i="24"/>
  <c r="C36" i="24"/>
  <c r="G35" i="24"/>
  <c r="H35" i="24" s="1"/>
  <c r="K35" i="24" s="1"/>
  <c r="I35" i="24"/>
  <c r="J35" i="24" s="1"/>
  <c r="Q35" i="24"/>
  <c r="D35" i="24"/>
  <c r="C35" i="24"/>
  <c r="G34" i="24"/>
  <c r="H34" i="24" s="1"/>
  <c r="K34" i="24" s="1"/>
  <c r="I34" i="24"/>
  <c r="J34" i="24" s="1"/>
  <c r="Q34" i="24"/>
  <c r="D34" i="24"/>
  <c r="C34" i="24"/>
  <c r="Q32" i="24"/>
  <c r="M32" i="24"/>
  <c r="N32" i="24" s="1"/>
  <c r="P32" i="24" s="1"/>
  <c r="S33" i="24"/>
  <c r="Q33" i="24"/>
  <c r="I33" i="24"/>
  <c r="J33" i="24" s="1"/>
  <c r="G33" i="24"/>
  <c r="H33" i="24" s="1"/>
  <c r="D33" i="24"/>
  <c r="C33" i="24"/>
  <c r="S13" i="24"/>
  <c r="S14" i="24"/>
  <c r="S15" i="24"/>
  <c r="S16" i="24"/>
  <c r="S17" i="24"/>
  <c r="S18" i="24"/>
  <c r="S19" i="24"/>
  <c r="S20" i="24"/>
  <c r="S21" i="24"/>
  <c r="S12" i="24"/>
  <c r="Q21" i="24"/>
  <c r="Q20" i="24"/>
  <c r="Q19" i="24"/>
  <c r="Q18" i="24"/>
  <c r="Q17" i="24"/>
  <c r="Q16" i="24" s="1"/>
  <c r="Q15" i="24" s="1"/>
  <c r="Q14" i="24" s="1"/>
  <c r="Q13" i="24" s="1"/>
  <c r="Q12" i="24" s="1"/>
  <c r="P8" i="24"/>
  <c r="P9" i="24"/>
  <c r="P10" i="24"/>
  <c r="P11" i="24"/>
  <c r="P12" i="24"/>
  <c r="P13" i="24"/>
  <c r="P14" i="24"/>
  <c r="P15" i="24"/>
  <c r="P16" i="24"/>
  <c r="P17" i="24"/>
  <c r="P18" i="24"/>
  <c r="P19" i="24"/>
  <c r="P20" i="24"/>
  <c r="P21" i="24"/>
  <c r="P22" i="24"/>
  <c r="P7" i="24"/>
  <c r="B85" i="23"/>
  <c r="K78" i="23"/>
  <c r="L78" i="23" s="1"/>
  <c r="M78" i="23"/>
  <c r="Q78" i="23"/>
  <c r="G78" i="23"/>
  <c r="H78" i="23"/>
  <c r="D78" i="23"/>
  <c r="C78" i="23"/>
  <c r="I78" i="23"/>
  <c r="J78" i="23" s="1"/>
  <c r="G77" i="23"/>
  <c r="H77" i="23" s="1"/>
  <c r="K77" i="23" s="1"/>
  <c r="I77" i="23"/>
  <c r="J77" i="23" s="1"/>
  <c r="Q77" i="23"/>
  <c r="D77" i="23"/>
  <c r="C77" i="23"/>
  <c r="G76" i="23"/>
  <c r="H76" i="23" s="1"/>
  <c r="K76" i="23" s="1"/>
  <c r="I76" i="23"/>
  <c r="J76" i="23" s="1"/>
  <c r="Q76" i="23"/>
  <c r="D76" i="23"/>
  <c r="C76" i="23"/>
  <c r="G75" i="23"/>
  <c r="H75" i="23" s="1"/>
  <c r="K75" i="23" s="1"/>
  <c r="I75" i="23"/>
  <c r="J75" i="23" s="1"/>
  <c r="Q75" i="23"/>
  <c r="D75" i="23"/>
  <c r="C75" i="23"/>
  <c r="Q73" i="23"/>
  <c r="P73" i="23"/>
  <c r="S73" i="23" s="1"/>
  <c r="M73" i="23"/>
  <c r="N73" i="23" s="1"/>
  <c r="Q74" i="23"/>
  <c r="S74" i="23"/>
  <c r="N74" i="23"/>
  <c r="I74" i="23"/>
  <c r="J74" i="23" s="1"/>
  <c r="G74" i="23"/>
  <c r="H74" i="23" s="1"/>
  <c r="D74" i="23"/>
  <c r="C74" i="23"/>
  <c r="S56" i="23"/>
  <c r="S57" i="23"/>
  <c r="S58" i="23"/>
  <c r="S59" i="23"/>
  <c r="S60" i="23"/>
  <c r="S61" i="23"/>
  <c r="S62" i="23"/>
  <c r="S63" i="23"/>
  <c r="S64" i="23"/>
  <c r="S55" i="23"/>
  <c r="Q64" i="23"/>
  <c r="Q63" i="23"/>
  <c r="Q62" i="23"/>
  <c r="Q61" i="23"/>
  <c r="Q60" i="23"/>
  <c r="Q59" i="23" s="1"/>
  <c r="Q58" i="23" s="1"/>
  <c r="Q57" i="23" s="1"/>
  <c r="Q56" i="23" s="1"/>
  <c r="Q55" i="23" s="1"/>
  <c r="P51" i="23"/>
  <c r="P52" i="23"/>
  <c r="P53" i="23"/>
  <c r="P54" i="23"/>
  <c r="P55" i="23"/>
  <c r="P56" i="23"/>
  <c r="P57" i="23"/>
  <c r="P58" i="23"/>
  <c r="P59" i="23"/>
  <c r="P60" i="23"/>
  <c r="P61" i="23"/>
  <c r="P62" i="23"/>
  <c r="P63" i="23"/>
  <c r="P64" i="23"/>
  <c r="P65" i="23"/>
  <c r="P50" i="23"/>
  <c r="K37" i="23"/>
  <c r="L37" i="23" s="1"/>
  <c r="M37" i="23"/>
  <c r="Q37" i="23"/>
  <c r="G37" i="23"/>
  <c r="H37" i="23" s="1"/>
  <c r="D37" i="23"/>
  <c r="C37" i="23"/>
  <c r="I37" i="23"/>
  <c r="J37" i="23" s="1"/>
  <c r="G36" i="23"/>
  <c r="H36" i="23" s="1"/>
  <c r="K36" i="23" s="1"/>
  <c r="I36" i="23"/>
  <c r="J36" i="23" s="1"/>
  <c r="Q36" i="23"/>
  <c r="D36" i="23"/>
  <c r="C36" i="23"/>
  <c r="G35" i="23"/>
  <c r="H35" i="23" s="1"/>
  <c r="K35" i="23" s="1"/>
  <c r="I35" i="23"/>
  <c r="J35" i="23" s="1"/>
  <c r="Q35" i="23"/>
  <c r="D35" i="23"/>
  <c r="C35" i="23"/>
  <c r="G34" i="23"/>
  <c r="H34" i="23" s="1"/>
  <c r="K34" i="23" s="1"/>
  <c r="I34" i="23"/>
  <c r="J34" i="23" s="1"/>
  <c r="Q34" i="23"/>
  <c r="D34" i="23"/>
  <c r="C34" i="23"/>
  <c r="S32" i="23"/>
  <c r="Q32" i="23"/>
  <c r="P32" i="23"/>
  <c r="R32" i="23" s="1"/>
  <c r="M32" i="23"/>
  <c r="N32" i="23" s="1"/>
  <c r="S33" i="23"/>
  <c r="B86" i="23" s="1"/>
  <c r="F86" i="23" s="1"/>
  <c r="Q33" i="23"/>
  <c r="I33" i="23"/>
  <c r="J33" i="23" s="1"/>
  <c r="G33" i="23"/>
  <c r="H33" i="23" s="1"/>
  <c r="K33" i="23" s="1"/>
  <c r="D33" i="23"/>
  <c r="C33" i="23"/>
  <c r="S13" i="23"/>
  <c r="S14" i="23"/>
  <c r="S15" i="23"/>
  <c r="S16" i="23"/>
  <c r="S17" i="23"/>
  <c r="S18" i="23"/>
  <c r="S19" i="23"/>
  <c r="S20" i="23"/>
  <c r="S21" i="23"/>
  <c r="S12" i="23"/>
  <c r="Q21" i="23"/>
  <c r="Q20" i="23"/>
  <c r="Q19" i="23"/>
  <c r="Q18" i="23"/>
  <c r="Q17" i="23"/>
  <c r="Q16" i="23" s="1"/>
  <c r="Q15" i="23" s="1"/>
  <c r="Q14" i="23" s="1"/>
  <c r="Q13" i="23" s="1"/>
  <c r="Q12" i="23" s="1"/>
  <c r="P8" i="23"/>
  <c r="P9" i="23"/>
  <c r="P10" i="23"/>
  <c r="P11" i="23"/>
  <c r="P12" i="23"/>
  <c r="P13" i="23"/>
  <c r="P14" i="23"/>
  <c r="P15" i="23"/>
  <c r="P16" i="23"/>
  <c r="P17" i="23"/>
  <c r="P18" i="23"/>
  <c r="P19" i="23"/>
  <c r="P20" i="23"/>
  <c r="P21" i="23"/>
  <c r="P22" i="23"/>
  <c r="P7" i="23"/>
  <c r="B86" i="22"/>
  <c r="K79" i="22"/>
  <c r="L79" i="22" s="1"/>
  <c r="M79" i="22"/>
  <c r="Q79" i="22"/>
  <c r="G79" i="22"/>
  <c r="H79" i="22" s="1"/>
  <c r="D79" i="22"/>
  <c r="C79" i="22"/>
  <c r="I79" i="22"/>
  <c r="J79" i="22" s="1"/>
  <c r="K78" i="22"/>
  <c r="L78" i="22" s="1"/>
  <c r="M78" i="22"/>
  <c r="Q78" i="22"/>
  <c r="G78" i="22"/>
  <c r="H78" i="22"/>
  <c r="D78" i="22"/>
  <c r="C78" i="22"/>
  <c r="I78" i="22"/>
  <c r="J78" i="22" s="1"/>
  <c r="S58" i="22"/>
  <c r="G77" i="22"/>
  <c r="H77" i="22" s="1"/>
  <c r="K77" i="22" s="1"/>
  <c r="I77" i="22"/>
  <c r="J77" i="22" s="1"/>
  <c r="Q77" i="22"/>
  <c r="D77" i="22"/>
  <c r="C77" i="22"/>
  <c r="G76" i="22"/>
  <c r="H76" i="22" s="1"/>
  <c r="K76" i="22" s="1"/>
  <c r="I76" i="22"/>
  <c r="J76" i="22" s="1"/>
  <c r="Q76" i="22"/>
  <c r="D76" i="22"/>
  <c r="C76" i="22"/>
  <c r="G75" i="22"/>
  <c r="H75" i="22" s="1"/>
  <c r="K75" i="22" s="1"/>
  <c r="I75" i="22"/>
  <c r="J75" i="22" s="1"/>
  <c r="Q75" i="22"/>
  <c r="D75" i="22"/>
  <c r="C75" i="22"/>
  <c r="Q74" i="22"/>
  <c r="P74" i="22"/>
  <c r="S74" i="22" s="1"/>
  <c r="I74" i="22"/>
  <c r="J74" i="22" s="1"/>
  <c r="G74" i="22"/>
  <c r="H74" i="22" s="1"/>
  <c r="D74" i="22"/>
  <c r="C74" i="22"/>
  <c r="S57" i="22"/>
  <c r="S59" i="22"/>
  <c r="S60" i="22"/>
  <c r="S61" i="22"/>
  <c r="S62" i="22"/>
  <c r="S63" i="22"/>
  <c r="S64" i="22"/>
  <c r="S65" i="22"/>
  <c r="S56" i="22"/>
  <c r="Q65" i="22"/>
  <c r="Q64" i="22"/>
  <c r="Q63" i="22"/>
  <c r="Q62" i="22"/>
  <c r="Q61" i="22"/>
  <c r="Q60" i="22" s="1"/>
  <c r="Q59" i="22" s="1"/>
  <c r="Q58" i="22" s="1"/>
  <c r="Q57" i="22" s="1"/>
  <c r="Q56" i="22" s="1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51" i="22"/>
  <c r="K38" i="22"/>
  <c r="L38" i="22" s="1"/>
  <c r="M38" i="22"/>
  <c r="Q38" i="22"/>
  <c r="G38" i="22"/>
  <c r="H38" i="22" s="1"/>
  <c r="D38" i="22"/>
  <c r="C38" i="22"/>
  <c r="I38" i="22"/>
  <c r="J38" i="22" s="1"/>
  <c r="G37" i="22"/>
  <c r="H37" i="22"/>
  <c r="K37" i="22" s="1"/>
  <c r="I37" i="22"/>
  <c r="J37" i="22"/>
  <c r="Q37" i="22"/>
  <c r="D37" i="22"/>
  <c r="C37" i="22"/>
  <c r="G36" i="22"/>
  <c r="H36" i="22" s="1"/>
  <c r="K36" i="22" s="1"/>
  <c r="I36" i="22"/>
  <c r="J36" i="22" s="1"/>
  <c r="Q36" i="22"/>
  <c r="D36" i="22"/>
  <c r="C36" i="22"/>
  <c r="G35" i="22"/>
  <c r="H35" i="22" s="1"/>
  <c r="K35" i="22" s="1"/>
  <c r="I35" i="22"/>
  <c r="J35" i="22" s="1"/>
  <c r="Q35" i="22"/>
  <c r="D35" i="22"/>
  <c r="C35" i="22"/>
  <c r="S33" i="22"/>
  <c r="R33" i="22"/>
  <c r="Q33" i="22"/>
  <c r="N33" i="22"/>
  <c r="P33" i="22"/>
  <c r="M33" i="22"/>
  <c r="S34" i="22"/>
  <c r="Q34" i="22"/>
  <c r="I34" i="22"/>
  <c r="J34" i="22" s="1"/>
  <c r="G34" i="22"/>
  <c r="H34" i="22" s="1"/>
  <c r="K34" i="22" s="1"/>
  <c r="D34" i="22"/>
  <c r="C34" i="22"/>
  <c r="S14" i="22"/>
  <c r="S15" i="22"/>
  <c r="S16" i="22"/>
  <c r="S17" i="22"/>
  <c r="S18" i="22"/>
  <c r="S19" i="22"/>
  <c r="S20" i="22"/>
  <c r="S21" i="22"/>
  <c r="S22" i="22"/>
  <c r="S13" i="22"/>
  <c r="Q22" i="22"/>
  <c r="Q21" i="22"/>
  <c r="Q20" i="22"/>
  <c r="Q19" i="22"/>
  <c r="Q18" i="22"/>
  <c r="Q17" i="22" s="1"/>
  <c r="Q16" i="22" s="1"/>
  <c r="Q15" i="22" s="1"/>
  <c r="Q14" i="22" s="1"/>
  <c r="Q13" i="22" s="1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8" i="22"/>
  <c r="P8" i="21"/>
  <c r="P9" i="21"/>
  <c r="B85" i="21"/>
  <c r="K78" i="21"/>
  <c r="L78" i="21" s="1"/>
  <c r="M78" i="21"/>
  <c r="Q78" i="21"/>
  <c r="G78" i="21"/>
  <c r="H78" i="21" s="1"/>
  <c r="D78" i="21"/>
  <c r="C78" i="21"/>
  <c r="I78" i="21"/>
  <c r="J78" i="21" s="1"/>
  <c r="K77" i="21"/>
  <c r="L77" i="21" s="1"/>
  <c r="M77" i="21"/>
  <c r="Q77" i="21"/>
  <c r="G77" i="21"/>
  <c r="H77" i="21" s="1"/>
  <c r="D77" i="21"/>
  <c r="C77" i="21"/>
  <c r="I77" i="21"/>
  <c r="J77" i="21" s="1"/>
  <c r="G76" i="21"/>
  <c r="H76" i="21" s="1"/>
  <c r="K76" i="21" s="1"/>
  <c r="I76" i="21"/>
  <c r="J76" i="21" s="1"/>
  <c r="Q76" i="21"/>
  <c r="D76" i="21"/>
  <c r="C76" i="21"/>
  <c r="G75" i="21"/>
  <c r="H75" i="21" s="1"/>
  <c r="K75" i="21" s="1"/>
  <c r="I75" i="21"/>
  <c r="J75" i="21" s="1"/>
  <c r="Q75" i="21"/>
  <c r="D75" i="21"/>
  <c r="C75" i="21"/>
  <c r="G74" i="21"/>
  <c r="H74" i="21" s="1"/>
  <c r="K74" i="21" s="1"/>
  <c r="I74" i="21"/>
  <c r="J74" i="21" s="1"/>
  <c r="Q74" i="21"/>
  <c r="D74" i="21"/>
  <c r="C74" i="21"/>
  <c r="Q73" i="21"/>
  <c r="P73" i="21"/>
  <c r="S73" i="21" s="1"/>
  <c r="M73" i="21"/>
  <c r="L73" i="21"/>
  <c r="N73" i="21" s="1"/>
  <c r="K73" i="21"/>
  <c r="J73" i="21"/>
  <c r="I73" i="21"/>
  <c r="H73" i="21"/>
  <c r="G73" i="21"/>
  <c r="D73" i="21"/>
  <c r="C73" i="21"/>
  <c r="S56" i="21"/>
  <c r="S57" i="21"/>
  <c r="S58" i="21"/>
  <c r="S59" i="21"/>
  <c r="S60" i="21"/>
  <c r="S61" i="21"/>
  <c r="S62" i="21"/>
  <c r="S63" i="21"/>
  <c r="S64" i="21"/>
  <c r="S55" i="21"/>
  <c r="Q64" i="21"/>
  <c r="Q63" i="21"/>
  <c r="Q62" i="21"/>
  <c r="Q61" i="21"/>
  <c r="Q60" i="21"/>
  <c r="Q59" i="21"/>
  <c r="Q58" i="21" s="1"/>
  <c r="Q57" i="21" s="1"/>
  <c r="Q56" i="21" s="1"/>
  <c r="Q55" i="21" s="1"/>
  <c r="P51" i="21"/>
  <c r="P52" i="21"/>
  <c r="P53" i="21"/>
  <c r="P54" i="21"/>
  <c r="P55" i="21"/>
  <c r="P56" i="21"/>
  <c r="P57" i="21"/>
  <c r="P58" i="21"/>
  <c r="P59" i="21"/>
  <c r="P60" i="21"/>
  <c r="P61" i="21"/>
  <c r="P62" i="21"/>
  <c r="P63" i="21"/>
  <c r="P64" i="21"/>
  <c r="P65" i="21"/>
  <c r="P50" i="21"/>
  <c r="G37" i="21"/>
  <c r="H37" i="21" s="1"/>
  <c r="K37" i="21" s="1"/>
  <c r="I37" i="21"/>
  <c r="J37" i="21" s="1"/>
  <c r="Q37" i="21"/>
  <c r="D37" i="21"/>
  <c r="C37" i="21"/>
  <c r="G36" i="21"/>
  <c r="H36" i="21" s="1"/>
  <c r="K36" i="21" s="1"/>
  <c r="I36" i="21"/>
  <c r="J36" i="21" s="1"/>
  <c r="Q36" i="21"/>
  <c r="D36" i="21"/>
  <c r="C36" i="21"/>
  <c r="S35" i="21"/>
  <c r="Q35" i="21"/>
  <c r="R35" i="21"/>
  <c r="S34" i="21"/>
  <c r="Q34" i="21"/>
  <c r="R34" i="21"/>
  <c r="G35" i="21"/>
  <c r="H35" i="21" s="1"/>
  <c r="K35" i="21" s="1"/>
  <c r="I35" i="21"/>
  <c r="J35" i="21" s="1"/>
  <c r="D35" i="21"/>
  <c r="C35" i="21"/>
  <c r="N33" i="21"/>
  <c r="N32" i="21"/>
  <c r="M33" i="21"/>
  <c r="M32" i="21"/>
  <c r="M34" i="21"/>
  <c r="K34" i="21"/>
  <c r="Q33" i="21"/>
  <c r="Q32" i="21"/>
  <c r="R33" i="21"/>
  <c r="P32" i="21"/>
  <c r="R32" i="21" s="1"/>
  <c r="Q74" i="1"/>
  <c r="Q75" i="1"/>
  <c r="Q76" i="1"/>
  <c r="Q77" i="1"/>
  <c r="Q78" i="1"/>
  <c r="Q73" i="1"/>
  <c r="Q33" i="1"/>
  <c r="Q34" i="1"/>
  <c r="Q35" i="1"/>
  <c r="Q36" i="1"/>
  <c r="Q37" i="1"/>
  <c r="Q32" i="1"/>
  <c r="Q74" i="2"/>
  <c r="Q75" i="2"/>
  <c r="Q76" i="2"/>
  <c r="Q77" i="2"/>
  <c r="Q78" i="2"/>
  <c r="Q73" i="2"/>
  <c r="Q33" i="2"/>
  <c r="Q34" i="2"/>
  <c r="Q35" i="2"/>
  <c r="Q36" i="2"/>
  <c r="Q37" i="2"/>
  <c r="Q32" i="2"/>
  <c r="Q74" i="3"/>
  <c r="Q75" i="3"/>
  <c r="Q76" i="3"/>
  <c r="Q77" i="3"/>
  <c r="Q78" i="3"/>
  <c r="Q73" i="3"/>
  <c r="Q33" i="3"/>
  <c r="Q34" i="3"/>
  <c r="Q35" i="3"/>
  <c r="Q36" i="3"/>
  <c r="Q37" i="3"/>
  <c r="Q32" i="3"/>
  <c r="Q74" i="4"/>
  <c r="Q75" i="4"/>
  <c r="Q76" i="4"/>
  <c r="Q77" i="4"/>
  <c r="Q78" i="4"/>
  <c r="Q73" i="4"/>
  <c r="Q33" i="4"/>
  <c r="Q34" i="4"/>
  <c r="Q35" i="4"/>
  <c r="Q36" i="4"/>
  <c r="Q37" i="4"/>
  <c r="Q32" i="4"/>
  <c r="Q74" i="5"/>
  <c r="Q75" i="5"/>
  <c r="Q76" i="5"/>
  <c r="Q77" i="5"/>
  <c r="Q78" i="5"/>
  <c r="Q73" i="5"/>
  <c r="Q33" i="5"/>
  <c r="Q34" i="5"/>
  <c r="Q35" i="5"/>
  <c r="Q36" i="5"/>
  <c r="Q37" i="5"/>
  <c r="Q32" i="5"/>
  <c r="Q74" i="6"/>
  <c r="Q75" i="6"/>
  <c r="Q76" i="6"/>
  <c r="Q77" i="6"/>
  <c r="Q78" i="6"/>
  <c r="Q73" i="6"/>
  <c r="Q33" i="6"/>
  <c r="Q34" i="6"/>
  <c r="Q35" i="6"/>
  <c r="Q36" i="6"/>
  <c r="Q37" i="6"/>
  <c r="Q32" i="6"/>
  <c r="Q74" i="8"/>
  <c r="Q75" i="8"/>
  <c r="Q76" i="8"/>
  <c r="Q77" i="8"/>
  <c r="Q78" i="8"/>
  <c r="Q73" i="8"/>
  <c r="Q33" i="8"/>
  <c r="Q34" i="8"/>
  <c r="Q35" i="8"/>
  <c r="Q36" i="8"/>
  <c r="Q37" i="8"/>
  <c r="Q32" i="8"/>
  <c r="Q74" i="9"/>
  <c r="Q75" i="9"/>
  <c r="Q76" i="9"/>
  <c r="Q77" i="9"/>
  <c r="Q78" i="9"/>
  <c r="Q73" i="9"/>
  <c r="Q33" i="9"/>
  <c r="Q34" i="9"/>
  <c r="Q35" i="9"/>
  <c r="Q36" i="9"/>
  <c r="Q37" i="9"/>
  <c r="Q32" i="9"/>
  <c r="Q74" i="10"/>
  <c r="Q75" i="10"/>
  <c r="Q76" i="10"/>
  <c r="Q77" i="10"/>
  <c r="Q78" i="10"/>
  <c r="Q73" i="10"/>
  <c r="Q33" i="10"/>
  <c r="Q34" i="10"/>
  <c r="Q35" i="10"/>
  <c r="Q36" i="10"/>
  <c r="Q37" i="10"/>
  <c r="Q32" i="10"/>
  <c r="Q74" i="11"/>
  <c r="Q75" i="11"/>
  <c r="Q76" i="11"/>
  <c r="Q77" i="11"/>
  <c r="Q78" i="11"/>
  <c r="Q73" i="11"/>
  <c r="Q33" i="11"/>
  <c r="Q34" i="11"/>
  <c r="Q35" i="11"/>
  <c r="Q36" i="11"/>
  <c r="Q37" i="11"/>
  <c r="Q32" i="11"/>
  <c r="Q74" i="12"/>
  <c r="Q75" i="12"/>
  <c r="Q76" i="12"/>
  <c r="Q77" i="12"/>
  <c r="Q78" i="12"/>
  <c r="Q73" i="12"/>
  <c r="Q33" i="12"/>
  <c r="Q34" i="12"/>
  <c r="Q35" i="12"/>
  <c r="Q36" i="12"/>
  <c r="Q37" i="12"/>
  <c r="Q32" i="12"/>
  <c r="Q74" i="13"/>
  <c r="Q75" i="13"/>
  <c r="Q76" i="13"/>
  <c r="Q77" i="13"/>
  <c r="Q78" i="13"/>
  <c r="Q73" i="13"/>
  <c r="Q33" i="13"/>
  <c r="Q34" i="13"/>
  <c r="Q35" i="13"/>
  <c r="Q36" i="13"/>
  <c r="Q37" i="13"/>
  <c r="Q32" i="13"/>
  <c r="Q74" i="14"/>
  <c r="Q75" i="14"/>
  <c r="Q76" i="14"/>
  <c r="Q77" i="14"/>
  <c r="Q78" i="14"/>
  <c r="Q73" i="14"/>
  <c r="Q33" i="14"/>
  <c r="Q34" i="14"/>
  <c r="Q35" i="14"/>
  <c r="Q36" i="14"/>
  <c r="Q37" i="14"/>
  <c r="Q32" i="14"/>
  <c r="Q74" i="15"/>
  <c r="Q75" i="15"/>
  <c r="Q76" i="15"/>
  <c r="Q77" i="15"/>
  <c r="Q78" i="15"/>
  <c r="Q73" i="15"/>
  <c r="Q33" i="15"/>
  <c r="Q34" i="15"/>
  <c r="Q35" i="15"/>
  <c r="Q36" i="15"/>
  <c r="Q37" i="15"/>
  <c r="Q32" i="15"/>
  <c r="Q74" i="16"/>
  <c r="Q75" i="16"/>
  <c r="Q76" i="16"/>
  <c r="Q77" i="16"/>
  <c r="Q78" i="16"/>
  <c r="Q73" i="16"/>
  <c r="Q33" i="16"/>
  <c r="Q34" i="16"/>
  <c r="Q35" i="16"/>
  <c r="Q36" i="16"/>
  <c r="Q37" i="16"/>
  <c r="Q32" i="16"/>
  <c r="Q74" i="17"/>
  <c r="Q75" i="17"/>
  <c r="Q76" i="17"/>
  <c r="Q77" i="17"/>
  <c r="Q78" i="17"/>
  <c r="Q73" i="17"/>
  <c r="Q33" i="17"/>
  <c r="Q34" i="17"/>
  <c r="Q35" i="17"/>
  <c r="Q36" i="17"/>
  <c r="Q37" i="17"/>
  <c r="Q32" i="17"/>
  <c r="Q74" i="18"/>
  <c r="Q75" i="18"/>
  <c r="Q76" i="18"/>
  <c r="Q77" i="18"/>
  <c r="Q78" i="18"/>
  <c r="Q73" i="18"/>
  <c r="Q33" i="18"/>
  <c r="Q34" i="18"/>
  <c r="Q35" i="18"/>
  <c r="Q36" i="18"/>
  <c r="Q37" i="18"/>
  <c r="Q32" i="18"/>
  <c r="Q74" i="19"/>
  <c r="Q75" i="19"/>
  <c r="Q76" i="19"/>
  <c r="Q77" i="19"/>
  <c r="Q78" i="19"/>
  <c r="Q73" i="19"/>
  <c r="Q33" i="19"/>
  <c r="Q34" i="19"/>
  <c r="Q35" i="19"/>
  <c r="Q36" i="19"/>
  <c r="Q37" i="19"/>
  <c r="Q32" i="19"/>
  <c r="Q33" i="20"/>
  <c r="Q34" i="20"/>
  <c r="Q35" i="20"/>
  <c r="Q36" i="20"/>
  <c r="Q37" i="20"/>
  <c r="Q32" i="20"/>
  <c r="Q74" i="20"/>
  <c r="Q75" i="20"/>
  <c r="Q76" i="20"/>
  <c r="Q77" i="20"/>
  <c r="Q78" i="20"/>
  <c r="Q73" i="20"/>
  <c r="E55" i="28" l="1"/>
  <c r="C54" i="28"/>
  <c r="H53" i="28"/>
  <c r="F52" i="28"/>
  <c r="L31" i="28"/>
  <c r="N31" i="28" s="1"/>
  <c r="M31" i="28"/>
  <c r="M30" i="28"/>
  <c r="N30" i="28" s="1"/>
  <c r="P30" i="28" s="1"/>
  <c r="E16" i="28"/>
  <c r="C15" i="28"/>
  <c r="H16" i="28"/>
  <c r="F15" i="28"/>
  <c r="N78" i="26"/>
  <c r="N77" i="26"/>
  <c r="M76" i="26"/>
  <c r="L76" i="26"/>
  <c r="N76" i="26" s="1"/>
  <c r="M75" i="26"/>
  <c r="L75" i="26"/>
  <c r="N75" i="26" s="1"/>
  <c r="M74" i="26"/>
  <c r="L74" i="26"/>
  <c r="N74" i="26" s="1"/>
  <c r="L73" i="26"/>
  <c r="M73" i="26"/>
  <c r="N37" i="26"/>
  <c r="M36" i="26"/>
  <c r="L36" i="26"/>
  <c r="N36" i="26" s="1"/>
  <c r="M35" i="26"/>
  <c r="L35" i="26"/>
  <c r="N35" i="26" s="1"/>
  <c r="M34" i="26"/>
  <c r="N34" i="26"/>
  <c r="R32" i="26"/>
  <c r="S32" i="26"/>
  <c r="B85" i="26" s="1"/>
  <c r="M33" i="26"/>
  <c r="N78" i="25"/>
  <c r="N77" i="25"/>
  <c r="M76" i="25"/>
  <c r="L76" i="25"/>
  <c r="N76" i="25" s="1"/>
  <c r="M75" i="25"/>
  <c r="L75" i="25"/>
  <c r="N75" i="25" s="1"/>
  <c r="M74" i="25"/>
  <c r="L74" i="25"/>
  <c r="N74" i="25" s="1"/>
  <c r="L73" i="25"/>
  <c r="M73" i="25"/>
  <c r="N37" i="25"/>
  <c r="N36" i="25"/>
  <c r="G32" i="25"/>
  <c r="H32" i="25" s="1"/>
  <c r="K32" i="25" s="1"/>
  <c r="L32" i="25" s="1"/>
  <c r="Q16" i="25"/>
  <c r="S17" i="25"/>
  <c r="C35" i="25"/>
  <c r="D34" i="25"/>
  <c r="G34" i="25" s="1"/>
  <c r="H34" i="25" s="1"/>
  <c r="K34" i="25" s="1"/>
  <c r="Q21" i="25"/>
  <c r="S21" i="25" s="1"/>
  <c r="C32" i="25" s="1"/>
  <c r="M34" i="25"/>
  <c r="K33" i="25"/>
  <c r="M32" i="25"/>
  <c r="N78" i="24"/>
  <c r="N77" i="24"/>
  <c r="M76" i="24"/>
  <c r="L76" i="24"/>
  <c r="N76" i="24" s="1"/>
  <c r="M75" i="24"/>
  <c r="L75" i="24"/>
  <c r="N75" i="24" s="1"/>
  <c r="M74" i="24"/>
  <c r="L74" i="24"/>
  <c r="N74" i="24" s="1"/>
  <c r="M73" i="24"/>
  <c r="N37" i="24"/>
  <c r="M36" i="24"/>
  <c r="L36" i="24"/>
  <c r="N36" i="24" s="1"/>
  <c r="M35" i="24"/>
  <c r="L35" i="24"/>
  <c r="N35" i="24" s="1"/>
  <c r="L34" i="24"/>
  <c r="N34" i="24" s="1"/>
  <c r="M34" i="24"/>
  <c r="S32" i="24"/>
  <c r="R32" i="24"/>
  <c r="R33" i="24"/>
  <c r="K33" i="24"/>
  <c r="N78" i="23"/>
  <c r="M77" i="23"/>
  <c r="L77" i="23"/>
  <c r="N77" i="23" s="1"/>
  <c r="M76" i="23"/>
  <c r="L76" i="23"/>
  <c r="N76" i="23" s="1"/>
  <c r="M75" i="23"/>
  <c r="L75" i="23"/>
  <c r="N75" i="23" s="1"/>
  <c r="R73" i="23"/>
  <c r="R74" i="23"/>
  <c r="K74" i="23"/>
  <c r="N37" i="23"/>
  <c r="M36" i="23"/>
  <c r="L36" i="23"/>
  <c r="N36" i="23" s="1"/>
  <c r="M35" i="23"/>
  <c r="L35" i="23"/>
  <c r="N35" i="23" s="1"/>
  <c r="M34" i="23"/>
  <c r="L34" i="23"/>
  <c r="N34" i="23" s="1"/>
  <c r="R33" i="23"/>
  <c r="L33" i="23"/>
  <c r="M33" i="23"/>
  <c r="N79" i="22"/>
  <c r="N78" i="22"/>
  <c r="M77" i="22"/>
  <c r="L77" i="22"/>
  <c r="N77" i="22" s="1"/>
  <c r="M76" i="22"/>
  <c r="L76" i="22"/>
  <c r="N76" i="22" s="1"/>
  <c r="M75" i="22"/>
  <c r="L75" i="22"/>
  <c r="N75" i="22" s="1"/>
  <c r="R74" i="22"/>
  <c r="K74" i="22"/>
  <c r="N38" i="22"/>
  <c r="M37" i="22"/>
  <c r="L37" i="22"/>
  <c r="N37" i="22" s="1"/>
  <c r="M36" i="22"/>
  <c r="L36" i="22"/>
  <c r="N36" i="22" s="1"/>
  <c r="M35" i="22"/>
  <c r="L35" i="22"/>
  <c r="N35" i="22" s="1"/>
  <c r="R34" i="22"/>
  <c r="L34" i="22"/>
  <c r="N34" i="22" s="1"/>
  <c r="M34" i="22"/>
  <c r="N78" i="21"/>
  <c r="N77" i="21"/>
  <c r="M76" i="21"/>
  <c r="L76" i="21"/>
  <c r="N76" i="21" s="1"/>
  <c r="M75" i="21"/>
  <c r="L75" i="21"/>
  <c r="N75" i="21" s="1"/>
  <c r="M74" i="21"/>
  <c r="L74" i="21"/>
  <c r="N74" i="21" s="1"/>
  <c r="R73" i="21"/>
  <c r="M37" i="21"/>
  <c r="L37" i="21"/>
  <c r="N37" i="21" s="1"/>
  <c r="M36" i="21"/>
  <c r="L36" i="21"/>
  <c r="N36" i="21" s="1"/>
  <c r="M35" i="21"/>
  <c r="L35" i="21"/>
  <c r="S32" i="21"/>
  <c r="S33" i="21"/>
  <c r="N34" i="21"/>
  <c r="N34" i="1"/>
  <c r="L34" i="21"/>
  <c r="L34" i="1"/>
  <c r="J34" i="21"/>
  <c r="I34" i="21"/>
  <c r="H34" i="21"/>
  <c r="G34" i="21"/>
  <c r="D34" i="21"/>
  <c r="C34" i="21"/>
  <c r="S14" i="21"/>
  <c r="S15" i="21"/>
  <c r="S16" i="21"/>
  <c r="S17" i="21"/>
  <c r="S18" i="21"/>
  <c r="S19" i="21"/>
  <c r="S20" i="21"/>
  <c r="S21" i="21"/>
  <c r="S22" i="21"/>
  <c r="S13" i="21"/>
  <c r="D78" i="1"/>
  <c r="C78" i="1"/>
  <c r="D77" i="1"/>
  <c r="C77" i="1"/>
  <c r="D37" i="1"/>
  <c r="C37" i="1"/>
  <c r="D36" i="1"/>
  <c r="C36" i="1"/>
  <c r="D35" i="1"/>
  <c r="C35" i="1"/>
  <c r="D34" i="1"/>
  <c r="C34" i="1"/>
  <c r="D78" i="2"/>
  <c r="C78" i="2"/>
  <c r="D77" i="2"/>
  <c r="C77" i="2"/>
  <c r="D76" i="2"/>
  <c r="C76" i="2"/>
  <c r="D75" i="2"/>
  <c r="C75" i="2"/>
  <c r="D74" i="2"/>
  <c r="C74" i="2"/>
  <c r="D37" i="2"/>
  <c r="C37" i="2"/>
  <c r="D36" i="2"/>
  <c r="C36" i="2"/>
  <c r="D35" i="2"/>
  <c r="C35" i="2"/>
  <c r="D34" i="2"/>
  <c r="C34" i="2"/>
  <c r="D78" i="3"/>
  <c r="C78" i="3"/>
  <c r="D77" i="3"/>
  <c r="C77" i="3"/>
  <c r="D76" i="3"/>
  <c r="C76" i="3"/>
  <c r="D75" i="3"/>
  <c r="C75" i="3"/>
  <c r="D74" i="3"/>
  <c r="C74" i="3"/>
  <c r="D37" i="3"/>
  <c r="C37" i="3"/>
  <c r="D36" i="3"/>
  <c r="C36" i="3"/>
  <c r="D34" i="3"/>
  <c r="C34" i="3"/>
  <c r="D78" i="4"/>
  <c r="C78" i="4"/>
  <c r="D77" i="4"/>
  <c r="C77" i="4"/>
  <c r="D76" i="4"/>
  <c r="C76" i="4"/>
  <c r="D75" i="4"/>
  <c r="C75" i="4"/>
  <c r="D37" i="4"/>
  <c r="C37" i="4"/>
  <c r="D36" i="4"/>
  <c r="C36" i="4"/>
  <c r="D35" i="4"/>
  <c r="C35" i="4"/>
  <c r="D78" i="5"/>
  <c r="C78" i="5"/>
  <c r="D77" i="5"/>
  <c r="C77" i="5"/>
  <c r="D76" i="5"/>
  <c r="C76" i="5"/>
  <c r="D75" i="5"/>
  <c r="C75" i="5"/>
  <c r="D74" i="5"/>
  <c r="C74" i="5"/>
  <c r="D37" i="5"/>
  <c r="C37" i="5"/>
  <c r="D36" i="5"/>
  <c r="C36" i="5"/>
  <c r="D35" i="5"/>
  <c r="C35" i="5"/>
  <c r="D78" i="6"/>
  <c r="C78" i="6"/>
  <c r="D77" i="6"/>
  <c r="C77" i="6"/>
  <c r="D76" i="6"/>
  <c r="C76" i="6"/>
  <c r="D75" i="6"/>
  <c r="C75" i="6"/>
  <c r="D37" i="6"/>
  <c r="C37" i="6"/>
  <c r="D36" i="6"/>
  <c r="C36" i="6"/>
  <c r="D35" i="6"/>
  <c r="C35" i="6"/>
  <c r="D78" i="8"/>
  <c r="C78" i="8"/>
  <c r="D77" i="8"/>
  <c r="C77" i="8"/>
  <c r="D76" i="8"/>
  <c r="C76" i="8"/>
  <c r="D75" i="8"/>
  <c r="C75" i="8"/>
  <c r="D36" i="8"/>
  <c r="C36" i="8"/>
  <c r="D35" i="8"/>
  <c r="C35" i="8"/>
  <c r="D78" i="9"/>
  <c r="C78" i="9"/>
  <c r="D76" i="9"/>
  <c r="C76" i="9"/>
  <c r="D37" i="9"/>
  <c r="C37" i="9"/>
  <c r="D36" i="9"/>
  <c r="C36" i="9"/>
  <c r="S19" i="9"/>
  <c r="D78" i="10"/>
  <c r="C78" i="10"/>
  <c r="D77" i="10"/>
  <c r="C77" i="10"/>
  <c r="D76" i="10"/>
  <c r="C76" i="10"/>
  <c r="D75" i="10"/>
  <c r="C75" i="10"/>
  <c r="D37" i="10"/>
  <c r="C37" i="10"/>
  <c r="F51" i="28" l="1"/>
  <c r="H52" i="28"/>
  <c r="C53" i="28"/>
  <c r="E54" i="28"/>
  <c r="S30" i="28"/>
  <c r="R30" i="28"/>
  <c r="P31" i="28"/>
  <c r="C34" i="28"/>
  <c r="D33" i="28"/>
  <c r="H15" i="28"/>
  <c r="F14" i="28"/>
  <c r="H14" i="28" s="1"/>
  <c r="E15" i="28"/>
  <c r="C14" i="28"/>
  <c r="E14" i="28" s="1"/>
  <c r="D35" i="28" s="1"/>
  <c r="R78" i="26"/>
  <c r="R77" i="26"/>
  <c r="S77" i="26"/>
  <c r="N73" i="26"/>
  <c r="P73" i="26" s="1"/>
  <c r="N33" i="26"/>
  <c r="R78" i="25"/>
  <c r="S78" i="25"/>
  <c r="R77" i="25"/>
  <c r="S77" i="25"/>
  <c r="R74" i="25"/>
  <c r="S74" i="25"/>
  <c r="P73" i="25"/>
  <c r="N73" i="25"/>
  <c r="R37" i="25"/>
  <c r="S37" i="25"/>
  <c r="B90" i="25" s="1"/>
  <c r="F90" i="25" s="1"/>
  <c r="R36" i="25"/>
  <c r="S36" i="25"/>
  <c r="B89" i="25" s="1"/>
  <c r="F89" i="25" s="1"/>
  <c r="L34" i="25"/>
  <c r="N34" i="25" s="1"/>
  <c r="Q15" i="25"/>
  <c r="S16" i="25"/>
  <c r="D36" i="25" s="1"/>
  <c r="G36" i="25" s="1"/>
  <c r="H36" i="25" s="1"/>
  <c r="C36" i="25"/>
  <c r="D35" i="25"/>
  <c r="M33" i="25"/>
  <c r="L33" i="25"/>
  <c r="N33" i="25" s="1"/>
  <c r="P32" i="25"/>
  <c r="S32" i="25" s="1"/>
  <c r="N32" i="25"/>
  <c r="P73" i="24"/>
  <c r="N73" i="24"/>
  <c r="R37" i="24"/>
  <c r="S37" i="24"/>
  <c r="S34" i="24"/>
  <c r="R34" i="24"/>
  <c r="L33" i="24"/>
  <c r="N33" i="24" s="1"/>
  <c r="M33" i="24"/>
  <c r="R78" i="23"/>
  <c r="S78" i="23"/>
  <c r="M74" i="23"/>
  <c r="L74" i="23"/>
  <c r="R37" i="23"/>
  <c r="S37" i="23"/>
  <c r="B90" i="23" s="1"/>
  <c r="F90" i="23" s="1"/>
  <c r="N33" i="23"/>
  <c r="R79" i="22"/>
  <c r="S79" i="22"/>
  <c r="R78" i="22"/>
  <c r="S78" i="22"/>
  <c r="L74" i="22"/>
  <c r="N74" i="22" s="1"/>
  <c r="M74" i="22"/>
  <c r="R38" i="22"/>
  <c r="S38" i="22"/>
  <c r="B91" i="22" s="1"/>
  <c r="F91" i="22" s="1"/>
  <c r="R78" i="21"/>
  <c r="S78" i="21"/>
  <c r="R77" i="21"/>
  <c r="S77" i="21"/>
  <c r="N35" i="21"/>
  <c r="P74" i="24" l="1"/>
  <c r="P75" i="24" s="1"/>
  <c r="P76" i="24" s="1"/>
  <c r="P77" i="24" s="1"/>
  <c r="E53" i="28"/>
  <c r="C52" i="28"/>
  <c r="H51" i="28"/>
  <c r="F50" i="28"/>
  <c r="S33" i="26"/>
  <c r="S31" i="28"/>
  <c r="R31" i="28"/>
  <c r="C35" i="28"/>
  <c r="D34" i="28"/>
  <c r="G35" i="28"/>
  <c r="H35" i="28" s="1"/>
  <c r="K35" i="28" s="1"/>
  <c r="G33" i="28"/>
  <c r="H33" i="28" s="1"/>
  <c r="K33" i="28" s="1"/>
  <c r="M33" i="28" s="1"/>
  <c r="R76" i="26"/>
  <c r="S76" i="26"/>
  <c r="R75" i="26"/>
  <c r="S75" i="26"/>
  <c r="R74" i="26"/>
  <c r="S74" i="26"/>
  <c r="B86" i="26" s="1"/>
  <c r="F86" i="26" s="1"/>
  <c r="S73" i="26"/>
  <c r="R73" i="26"/>
  <c r="R36" i="26"/>
  <c r="S36" i="26"/>
  <c r="B89" i="26" s="1"/>
  <c r="F89" i="26" s="1"/>
  <c r="R35" i="26"/>
  <c r="S35" i="26"/>
  <c r="B88" i="26" s="1"/>
  <c r="F88" i="26" s="1"/>
  <c r="R34" i="26"/>
  <c r="S34" i="26"/>
  <c r="B87" i="26" s="1"/>
  <c r="F87" i="26" s="1"/>
  <c r="R33" i="26"/>
  <c r="R76" i="25"/>
  <c r="S76" i="25"/>
  <c r="R75" i="25"/>
  <c r="S75" i="25"/>
  <c r="S73" i="25"/>
  <c r="R73" i="25"/>
  <c r="Q14" i="25"/>
  <c r="S15" i="25"/>
  <c r="G35" i="25"/>
  <c r="H35" i="25" s="1"/>
  <c r="K35" i="25" s="1"/>
  <c r="L35" i="25" s="1"/>
  <c r="R34" i="25"/>
  <c r="S34" i="25"/>
  <c r="R33" i="25"/>
  <c r="S33" i="25"/>
  <c r="B86" i="25" s="1"/>
  <c r="F86" i="25" s="1"/>
  <c r="R32" i="25"/>
  <c r="R76" i="24"/>
  <c r="S76" i="24"/>
  <c r="R75" i="24"/>
  <c r="S75" i="24"/>
  <c r="B87" i="24" s="1"/>
  <c r="F87" i="24" s="1"/>
  <c r="R74" i="24"/>
  <c r="S74" i="24"/>
  <c r="B86" i="24" s="1"/>
  <c r="F86" i="24" s="1"/>
  <c r="S73" i="24"/>
  <c r="B85" i="24" s="1"/>
  <c r="F85" i="24" s="1"/>
  <c r="R73" i="24"/>
  <c r="R36" i="24"/>
  <c r="S36" i="24"/>
  <c r="R35" i="24"/>
  <c r="S35" i="24"/>
  <c r="B88" i="24" s="1"/>
  <c r="F88" i="24" s="1"/>
  <c r="R77" i="23"/>
  <c r="S77" i="23"/>
  <c r="R76" i="23"/>
  <c r="S76" i="23"/>
  <c r="R75" i="23"/>
  <c r="S75" i="23"/>
  <c r="R36" i="23"/>
  <c r="S36" i="23"/>
  <c r="B89" i="23" s="1"/>
  <c r="F89" i="23" s="1"/>
  <c r="R35" i="23"/>
  <c r="S35" i="23"/>
  <c r="B88" i="23" s="1"/>
  <c r="F88" i="23" s="1"/>
  <c r="R34" i="23"/>
  <c r="S34" i="23"/>
  <c r="B87" i="23" s="1"/>
  <c r="F87" i="23" s="1"/>
  <c r="R77" i="22"/>
  <c r="S77" i="22"/>
  <c r="R76" i="22"/>
  <c r="S76" i="22"/>
  <c r="R75" i="22"/>
  <c r="S75" i="22"/>
  <c r="B87" i="22" s="1"/>
  <c r="F87" i="22" s="1"/>
  <c r="R37" i="22"/>
  <c r="S37" i="22"/>
  <c r="B90" i="22" s="1"/>
  <c r="F90" i="22" s="1"/>
  <c r="R36" i="22"/>
  <c r="S36" i="22"/>
  <c r="B89" i="22" s="1"/>
  <c r="F89" i="22" s="1"/>
  <c r="R35" i="22"/>
  <c r="S35" i="22"/>
  <c r="B88" i="22" s="1"/>
  <c r="F88" i="22" s="1"/>
  <c r="R76" i="21"/>
  <c r="S76" i="21"/>
  <c r="B88" i="21" s="1"/>
  <c r="F88" i="21" s="1"/>
  <c r="R75" i="21"/>
  <c r="S75" i="21"/>
  <c r="B87" i="21" s="1"/>
  <c r="F87" i="21" s="1"/>
  <c r="R74" i="21"/>
  <c r="S74" i="21"/>
  <c r="B86" i="21" s="1"/>
  <c r="F86" i="21" s="1"/>
  <c r="R37" i="21"/>
  <c r="S37" i="21"/>
  <c r="B90" i="21" s="1"/>
  <c r="F90" i="21" s="1"/>
  <c r="R36" i="21"/>
  <c r="S36" i="21"/>
  <c r="B89" i="21" s="1"/>
  <c r="F89" i="21" s="1"/>
  <c r="D36" i="10"/>
  <c r="C36" i="10"/>
  <c r="D78" i="11"/>
  <c r="C78" i="11"/>
  <c r="D77" i="11"/>
  <c r="C77" i="11"/>
  <c r="D76" i="11"/>
  <c r="C76" i="11"/>
  <c r="D73" i="11"/>
  <c r="C73" i="11"/>
  <c r="D37" i="11"/>
  <c r="C37" i="11"/>
  <c r="D36" i="11"/>
  <c r="C36" i="11"/>
  <c r="D35" i="11"/>
  <c r="C35" i="11"/>
  <c r="D77" i="12"/>
  <c r="C77" i="12"/>
  <c r="D78" i="12"/>
  <c r="C78" i="12"/>
  <c r="D73" i="12"/>
  <c r="C73" i="12"/>
  <c r="D36" i="12"/>
  <c r="C36" i="12"/>
  <c r="D35" i="12"/>
  <c r="C35" i="12"/>
  <c r="D78" i="13"/>
  <c r="C78" i="13"/>
  <c r="D77" i="13"/>
  <c r="C77" i="13"/>
  <c r="D76" i="13"/>
  <c r="C76" i="13"/>
  <c r="D36" i="13"/>
  <c r="C36" i="13"/>
  <c r="D33" i="13"/>
  <c r="C33" i="13"/>
  <c r="D32" i="13"/>
  <c r="C32" i="13"/>
  <c r="D77" i="14"/>
  <c r="C77" i="14"/>
  <c r="D75" i="14"/>
  <c r="C75" i="14"/>
  <c r="D74" i="14"/>
  <c r="C74" i="14"/>
  <c r="D36" i="14"/>
  <c r="C36" i="14"/>
  <c r="D35" i="14"/>
  <c r="C35" i="14"/>
  <c r="D34" i="14"/>
  <c r="C34" i="14"/>
  <c r="D32" i="14"/>
  <c r="C32" i="14"/>
  <c r="D78" i="15"/>
  <c r="C78" i="15"/>
  <c r="D77" i="15"/>
  <c r="C77" i="15"/>
  <c r="D76" i="15"/>
  <c r="C76" i="15"/>
  <c r="D75" i="15"/>
  <c r="C75" i="15"/>
  <c r="D37" i="15"/>
  <c r="C37" i="15"/>
  <c r="D36" i="15"/>
  <c r="C36" i="15"/>
  <c r="D35" i="15"/>
  <c r="C35" i="15"/>
  <c r="D78" i="16"/>
  <c r="C78" i="16"/>
  <c r="D77" i="16"/>
  <c r="C77" i="16"/>
  <c r="D76" i="16"/>
  <c r="C76" i="16"/>
  <c r="D75" i="16"/>
  <c r="C75" i="16"/>
  <c r="D37" i="16"/>
  <c r="C37" i="16"/>
  <c r="D36" i="16"/>
  <c r="C36" i="16"/>
  <c r="D78" i="17"/>
  <c r="C78" i="17"/>
  <c r="D77" i="17"/>
  <c r="C77" i="17"/>
  <c r="D76" i="17"/>
  <c r="C76" i="17"/>
  <c r="D75" i="17"/>
  <c r="C75" i="17"/>
  <c r="D37" i="17"/>
  <c r="C37" i="17"/>
  <c r="D78" i="18"/>
  <c r="C78" i="18"/>
  <c r="D76" i="18"/>
  <c r="C76" i="18"/>
  <c r="D75" i="18"/>
  <c r="C75" i="18"/>
  <c r="D36" i="18"/>
  <c r="C36" i="18"/>
  <c r="D33" i="18"/>
  <c r="C33" i="18"/>
  <c r="D78" i="19"/>
  <c r="C78" i="19"/>
  <c r="D76" i="19"/>
  <c r="C76" i="19"/>
  <c r="D73" i="19"/>
  <c r="C73" i="19"/>
  <c r="D78" i="20"/>
  <c r="C78" i="20"/>
  <c r="D77" i="20"/>
  <c r="C77" i="20"/>
  <c r="D76" i="20"/>
  <c r="C76" i="20"/>
  <c r="D37" i="20"/>
  <c r="C37" i="20"/>
  <c r="P78" i="24" l="1"/>
  <c r="R77" i="24"/>
  <c r="S77" i="24"/>
  <c r="B89" i="24" s="1"/>
  <c r="F89" i="24" s="1"/>
  <c r="F49" i="28"/>
  <c r="H50" i="28"/>
  <c r="C51" i="28"/>
  <c r="E52" i="28"/>
  <c r="M35" i="28"/>
  <c r="S37" i="26"/>
  <c r="B90" i="26" s="1"/>
  <c r="F90" i="26" s="1"/>
  <c r="R37" i="26"/>
  <c r="L33" i="28"/>
  <c r="N33" i="28" s="1"/>
  <c r="L35" i="28"/>
  <c r="N35" i="28" s="1"/>
  <c r="G34" i="28"/>
  <c r="H34" i="28" s="1"/>
  <c r="K34" i="28" s="1"/>
  <c r="L34" i="28" s="1"/>
  <c r="P33" i="28"/>
  <c r="B87" i="25"/>
  <c r="F87" i="25" s="1"/>
  <c r="N35" i="25"/>
  <c r="M35" i="25"/>
  <c r="Q13" i="25"/>
  <c r="S14" i="25"/>
  <c r="Q22" i="21"/>
  <c r="Q21" i="21"/>
  <c r="Q20" i="21"/>
  <c r="Q19" i="21"/>
  <c r="Q18" i="21"/>
  <c r="Q17" i="21" s="1"/>
  <c r="Q16" i="21" s="1"/>
  <c r="Q15" i="21" s="1"/>
  <c r="Q14" i="21" s="1"/>
  <c r="Q13" i="21" s="1"/>
  <c r="P10" i="21"/>
  <c r="P11" i="21"/>
  <c r="P12" i="21"/>
  <c r="P13" i="21"/>
  <c r="P14" i="21"/>
  <c r="P15" i="21"/>
  <c r="P16" i="21"/>
  <c r="P17" i="21"/>
  <c r="P18" i="21"/>
  <c r="P19" i="21"/>
  <c r="P20" i="21"/>
  <c r="P21" i="21"/>
  <c r="P22" i="21"/>
  <c r="P23" i="21"/>
  <c r="P8" i="1"/>
  <c r="C86" i="2"/>
  <c r="C87" i="2"/>
  <c r="C88" i="2"/>
  <c r="C89" i="2"/>
  <c r="C90" i="2"/>
  <c r="C85" i="2"/>
  <c r="C87" i="1"/>
  <c r="C88" i="1"/>
  <c r="C89" i="1"/>
  <c r="C90" i="1"/>
  <c r="C85" i="1"/>
  <c r="C86" i="3"/>
  <c r="C87" i="3"/>
  <c r="C88" i="3"/>
  <c r="C89" i="3"/>
  <c r="C90" i="3"/>
  <c r="C85" i="3"/>
  <c r="C86" i="4"/>
  <c r="C87" i="4"/>
  <c r="C88" i="4"/>
  <c r="C89" i="4"/>
  <c r="C90" i="4"/>
  <c r="C85" i="4"/>
  <c r="C86" i="5"/>
  <c r="C87" i="5"/>
  <c r="C88" i="5"/>
  <c r="C89" i="5"/>
  <c r="C90" i="5"/>
  <c r="C85" i="5"/>
  <c r="C86" i="6"/>
  <c r="C87" i="6"/>
  <c r="C88" i="6"/>
  <c r="C89" i="6"/>
  <c r="C90" i="6"/>
  <c r="C85" i="6"/>
  <c r="C86" i="7"/>
  <c r="C87" i="7"/>
  <c r="C88" i="7"/>
  <c r="C89" i="7"/>
  <c r="C90" i="7"/>
  <c r="C85" i="7"/>
  <c r="C86" i="8"/>
  <c r="C87" i="8"/>
  <c r="C88" i="8"/>
  <c r="C89" i="8"/>
  <c r="C90" i="8"/>
  <c r="C85" i="8"/>
  <c r="P6" i="8"/>
  <c r="C86" i="9"/>
  <c r="C87" i="9"/>
  <c r="C88" i="9"/>
  <c r="C89" i="9"/>
  <c r="C90" i="9"/>
  <c r="C85" i="9"/>
  <c r="C86" i="10"/>
  <c r="C87" i="10"/>
  <c r="C88" i="10"/>
  <c r="C89" i="10"/>
  <c r="C90" i="10"/>
  <c r="C85" i="10"/>
  <c r="C86" i="11"/>
  <c r="C87" i="11"/>
  <c r="C88" i="11"/>
  <c r="C89" i="11"/>
  <c r="C90" i="11"/>
  <c r="C85" i="11"/>
  <c r="S55" i="11"/>
  <c r="C86" i="12"/>
  <c r="C87" i="12"/>
  <c r="C88" i="12"/>
  <c r="C89" i="12"/>
  <c r="C90" i="12"/>
  <c r="C85" i="12"/>
  <c r="C86" i="13"/>
  <c r="C87" i="13"/>
  <c r="C88" i="13"/>
  <c r="C89" i="13"/>
  <c r="C90" i="13"/>
  <c r="C85" i="13"/>
  <c r="C86" i="14"/>
  <c r="C87" i="14"/>
  <c r="C88" i="14"/>
  <c r="C89" i="14"/>
  <c r="C90" i="14"/>
  <c r="C85" i="14"/>
  <c r="S14" i="14"/>
  <c r="C37" i="14" s="1"/>
  <c r="R78" i="24" l="1"/>
  <c r="S78" i="24"/>
  <c r="B90" i="24" s="1"/>
  <c r="F90" i="24" s="1"/>
  <c r="E51" i="28"/>
  <c r="C50" i="28"/>
  <c r="H49" i="28"/>
  <c r="F48" i="28"/>
  <c r="H48" i="28" s="1"/>
  <c r="S33" i="28"/>
  <c r="R33" i="28"/>
  <c r="M34" i="28"/>
  <c r="N34" i="28" s="1"/>
  <c r="P34" i="28" s="1"/>
  <c r="Q12" i="25"/>
  <c r="S12" i="25" s="1"/>
  <c r="S13" i="25"/>
  <c r="R35" i="25"/>
  <c r="S35" i="25"/>
  <c r="B88" i="25" s="1"/>
  <c r="F88" i="25" s="1"/>
  <c r="C86" i="15"/>
  <c r="C87" i="15"/>
  <c r="C88" i="15"/>
  <c r="C89" i="15"/>
  <c r="C90" i="15"/>
  <c r="C85" i="15"/>
  <c r="C86" i="16"/>
  <c r="C87" i="16"/>
  <c r="C88" i="16"/>
  <c r="C89" i="16"/>
  <c r="C90" i="16"/>
  <c r="C85" i="16"/>
  <c r="I32" i="16"/>
  <c r="C86" i="17"/>
  <c r="C87" i="17"/>
  <c r="C88" i="17"/>
  <c r="C89" i="17"/>
  <c r="C90" i="17"/>
  <c r="C85" i="17"/>
  <c r="M51" i="17"/>
  <c r="M52" i="17"/>
  <c r="M53" i="17"/>
  <c r="M54" i="17"/>
  <c r="M55" i="17"/>
  <c r="M56" i="17"/>
  <c r="M57" i="17"/>
  <c r="M58" i="17"/>
  <c r="M59" i="17"/>
  <c r="M60" i="17"/>
  <c r="M61" i="17"/>
  <c r="M62" i="17"/>
  <c r="M63" i="17"/>
  <c r="M64" i="17"/>
  <c r="M65" i="17"/>
  <c r="M66" i="17"/>
  <c r="M67" i="17"/>
  <c r="M68" i="17"/>
  <c r="M50" i="17"/>
  <c r="K52" i="17"/>
  <c r="K53" i="17"/>
  <c r="K54" i="17"/>
  <c r="K55" i="17"/>
  <c r="K56" i="17"/>
  <c r="K57" i="17"/>
  <c r="K58" i="17"/>
  <c r="K59" i="17"/>
  <c r="K60" i="17"/>
  <c r="K61" i="17"/>
  <c r="K62" i="17"/>
  <c r="K63" i="17"/>
  <c r="K64" i="17"/>
  <c r="K65" i="17"/>
  <c r="K66" i="17"/>
  <c r="K67" i="17"/>
  <c r="K68" i="17"/>
  <c r="K51" i="17"/>
  <c r="K50" i="17"/>
  <c r="C86" i="18"/>
  <c r="C87" i="18"/>
  <c r="C88" i="18"/>
  <c r="C89" i="18"/>
  <c r="C90" i="18"/>
  <c r="C85" i="18"/>
  <c r="C86" i="19"/>
  <c r="C87" i="19"/>
  <c r="C88" i="19"/>
  <c r="C89" i="19"/>
  <c r="C90" i="19"/>
  <c r="C85" i="19"/>
  <c r="I51" i="19"/>
  <c r="I52" i="19"/>
  <c r="I53" i="19"/>
  <c r="I54" i="19"/>
  <c r="I55" i="19"/>
  <c r="I56" i="19"/>
  <c r="I57" i="19"/>
  <c r="I58" i="19"/>
  <c r="I59" i="19"/>
  <c r="I60" i="19"/>
  <c r="I61" i="19"/>
  <c r="I62" i="19"/>
  <c r="I63" i="19"/>
  <c r="I64" i="19"/>
  <c r="I65" i="19"/>
  <c r="I66" i="19"/>
  <c r="I67" i="19"/>
  <c r="I68" i="19"/>
  <c r="I50" i="19"/>
  <c r="G51" i="19"/>
  <c r="G52" i="19"/>
  <c r="G53" i="19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50" i="19"/>
  <c r="C86" i="20"/>
  <c r="C87" i="20"/>
  <c r="C88" i="20"/>
  <c r="C89" i="20"/>
  <c r="C90" i="20"/>
  <c r="C85" i="20"/>
  <c r="K51" i="20"/>
  <c r="K52" i="20"/>
  <c r="K53" i="20"/>
  <c r="K54" i="20"/>
  <c r="K55" i="20"/>
  <c r="K56" i="20"/>
  <c r="K57" i="20"/>
  <c r="K58" i="20"/>
  <c r="K59" i="20"/>
  <c r="K60" i="20"/>
  <c r="K61" i="20"/>
  <c r="K62" i="20"/>
  <c r="K63" i="20"/>
  <c r="K64" i="20"/>
  <c r="K65" i="20"/>
  <c r="K66" i="20"/>
  <c r="K67" i="20"/>
  <c r="K68" i="20"/>
  <c r="K50" i="20"/>
  <c r="E50" i="28" l="1"/>
  <c r="C49" i="28"/>
  <c r="S34" i="28"/>
  <c r="R34" i="28"/>
  <c r="P35" i="28"/>
  <c r="O78" i="20"/>
  <c r="I78" i="20"/>
  <c r="J78" i="20" s="1"/>
  <c r="O77" i="20"/>
  <c r="I77" i="20"/>
  <c r="J77" i="20" s="1"/>
  <c r="O76" i="20"/>
  <c r="I76" i="20"/>
  <c r="J76" i="20" s="1"/>
  <c r="O75" i="20"/>
  <c r="I75" i="20"/>
  <c r="J75" i="20" s="1"/>
  <c r="O74" i="20"/>
  <c r="I74" i="20"/>
  <c r="J74" i="20" s="1"/>
  <c r="O73" i="20"/>
  <c r="I73" i="20"/>
  <c r="J73" i="20" s="1"/>
  <c r="P68" i="20"/>
  <c r="S67" i="20"/>
  <c r="C73" i="20" s="1"/>
  <c r="P67" i="20"/>
  <c r="P66" i="20"/>
  <c r="Q65" i="20"/>
  <c r="S65" i="20" s="1"/>
  <c r="C75" i="20" s="1"/>
  <c r="P65" i="20"/>
  <c r="P64" i="20"/>
  <c r="Q64" i="20" s="1"/>
  <c r="S64" i="20" s="1"/>
  <c r="D75" i="20" s="1"/>
  <c r="P63" i="20"/>
  <c r="P62" i="20"/>
  <c r="P61" i="20"/>
  <c r="P60" i="20"/>
  <c r="P59" i="20"/>
  <c r="P58" i="20"/>
  <c r="P57" i="20"/>
  <c r="P56" i="20"/>
  <c r="P55" i="20"/>
  <c r="P54" i="20"/>
  <c r="P53" i="20"/>
  <c r="P52" i="20"/>
  <c r="P51" i="20"/>
  <c r="P50" i="20"/>
  <c r="I37" i="20"/>
  <c r="J37" i="20" s="1"/>
  <c r="I36" i="20"/>
  <c r="J36" i="20" s="1"/>
  <c r="J35" i="20"/>
  <c r="I35" i="20"/>
  <c r="I34" i="20"/>
  <c r="J34" i="20" s="1"/>
  <c r="I33" i="20"/>
  <c r="J33" i="20" s="1"/>
  <c r="I32" i="20"/>
  <c r="J32" i="20" s="1"/>
  <c r="N24" i="20"/>
  <c r="L24" i="20"/>
  <c r="J24" i="20"/>
  <c r="H24" i="20"/>
  <c r="F24" i="20"/>
  <c r="D24" i="20"/>
  <c r="B24" i="20"/>
  <c r="P24" i="20" s="1"/>
  <c r="P23" i="20"/>
  <c r="Q23" i="20" s="1"/>
  <c r="S23" i="20" s="1"/>
  <c r="C32" i="20" s="1"/>
  <c r="P22" i="20"/>
  <c r="P21" i="20"/>
  <c r="P20" i="20"/>
  <c r="P19" i="20"/>
  <c r="P18" i="20"/>
  <c r="P17" i="20"/>
  <c r="P16" i="20"/>
  <c r="P15" i="20"/>
  <c r="P14" i="20"/>
  <c r="P13" i="20"/>
  <c r="P12" i="20"/>
  <c r="P11" i="20"/>
  <c r="P10" i="20"/>
  <c r="P9" i="20"/>
  <c r="P8" i="20"/>
  <c r="P7" i="20"/>
  <c r="P6" i="20"/>
  <c r="O78" i="19"/>
  <c r="I78" i="19"/>
  <c r="J78" i="19" s="1"/>
  <c r="O77" i="19"/>
  <c r="J77" i="19"/>
  <c r="I77" i="19"/>
  <c r="O76" i="19"/>
  <c r="I76" i="19"/>
  <c r="J76" i="19" s="1"/>
  <c r="O75" i="19"/>
  <c r="J75" i="19"/>
  <c r="I75" i="19"/>
  <c r="O74" i="19"/>
  <c r="I74" i="19"/>
  <c r="J74" i="19" s="1"/>
  <c r="O73" i="19"/>
  <c r="I73" i="19"/>
  <c r="J73" i="19" s="1"/>
  <c r="P68" i="19"/>
  <c r="S67" i="19"/>
  <c r="P67" i="19"/>
  <c r="P66" i="19"/>
  <c r="P65" i="19"/>
  <c r="P64" i="19"/>
  <c r="P63" i="19"/>
  <c r="P62" i="19"/>
  <c r="P61" i="19"/>
  <c r="P60" i="19"/>
  <c r="P59" i="19"/>
  <c r="P58" i="19"/>
  <c r="P57" i="19"/>
  <c r="P56" i="19"/>
  <c r="P55" i="19"/>
  <c r="P54" i="19"/>
  <c r="P53" i="19"/>
  <c r="P52" i="19"/>
  <c r="P51" i="19"/>
  <c r="P50" i="19"/>
  <c r="I37" i="19"/>
  <c r="J37" i="19" s="1"/>
  <c r="I36" i="19"/>
  <c r="J36" i="19" s="1"/>
  <c r="I35" i="19"/>
  <c r="J35" i="19" s="1"/>
  <c r="I34" i="19"/>
  <c r="J34" i="19" s="1"/>
  <c r="I33" i="19"/>
  <c r="J33" i="19" s="1"/>
  <c r="I32" i="19"/>
  <c r="J32" i="19" s="1"/>
  <c r="N24" i="19"/>
  <c r="L24" i="19"/>
  <c r="B24" i="19"/>
  <c r="P24" i="19" s="1"/>
  <c r="P23" i="19"/>
  <c r="Q23" i="19" s="1"/>
  <c r="S23" i="19" s="1"/>
  <c r="C32" i="19" s="1"/>
  <c r="P22" i="19"/>
  <c r="P21" i="19"/>
  <c r="P20" i="19"/>
  <c r="P19" i="19"/>
  <c r="P18" i="19"/>
  <c r="P17" i="19"/>
  <c r="P16" i="19"/>
  <c r="P15" i="19"/>
  <c r="P14" i="19"/>
  <c r="P13" i="19"/>
  <c r="P12" i="19"/>
  <c r="P11" i="19"/>
  <c r="P10" i="19"/>
  <c r="P9" i="19"/>
  <c r="P8" i="19"/>
  <c r="P7" i="19"/>
  <c r="P6" i="19"/>
  <c r="O78" i="18"/>
  <c r="I78" i="18"/>
  <c r="J78" i="18" s="1"/>
  <c r="O77" i="18"/>
  <c r="I77" i="18"/>
  <c r="J77" i="18" s="1"/>
  <c r="O76" i="18"/>
  <c r="I76" i="18"/>
  <c r="J76" i="18" s="1"/>
  <c r="O75" i="18"/>
  <c r="I75" i="18"/>
  <c r="J75" i="18" s="1"/>
  <c r="O74" i="18"/>
  <c r="I74" i="18"/>
  <c r="J74" i="18" s="1"/>
  <c r="O73" i="18"/>
  <c r="I73" i="18"/>
  <c r="J73" i="18" s="1"/>
  <c r="P68" i="18"/>
  <c r="S67" i="18"/>
  <c r="P67" i="18"/>
  <c r="P66" i="18"/>
  <c r="P65" i="18"/>
  <c r="Q65" i="18" s="1"/>
  <c r="S65" i="18" s="1"/>
  <c r="P64" i="18"/>
  <c r="P63" i="18"/>
  <c r="P62" i="18"/>
  <c r="P61" i="18"/>
  <c r="P60" i="18"/>
  <c r="P59" i="18"/>
  <c r="P58" i="18"/>
  <c r="P57" i="18"/>
  <c r="P56" i="18"/>
  <c r="P55" i="18"/>
  <c r="P54" i="18"/>
  <c r="P53" i="18"/>
  <c r="P52" i="18"/>
  <c r="P51" i="18"/>
  <c r="P50" i="18"/>
  <c r="I37" i="18"/>
  <c r="J37" i="18" s="1"/>
  <c r="I36" i="18"/>
  <c r="J36" i="18" s="1"/>
  <c r="I35" i="18"/>
  <c r="J35" i="18" s="1"/>
  <c r="I34" i="18"/>
  <c r="J34" i="18" s="1"/>
  <c r="J33" i="18"/>
  <c r="I33" i="18"/>
  <c r="O32" i="18"/>
  <c r="J32" i="18"/>
  <c r="I32" i="18"/>
  <c r="P24" i="18"/>
  <c r="P23" i="18"/>
  <c r="Q23" i="18" s="1"/>
  <c r="S23" i="18" s="1"/>
  <c r="P22" i="18"/>
  <c r="P21" i="18"/>
  <c r="P20" i="18"/>
  <c r="P19" i="18"/>
  <c r="P18" i="18"/>
  <c r="P17" i="18"/>
  <c r="P16" i="18"/>
  <c r="P15" i="18"/>
  <c r="P14" i="18"/>
  <c r="P13" i="18"/>
  <c r="P12" i="18"/>
  <c r="P11" i="18"/>
  <c r="P10" i="18"/>
  <c r="P9" i="18"/>
  <c r="P8" i="18"/>
  <c r="P7" i="18"/>
  <c r="P6" i="18"/>
  <c r="O78" i="17"/>
  <c r="I78" i="17"/>
  <c r="J78" i="17" s="1"/>
  <c r="O77" i="17"/>
  <c r="I77" i="17"/>
  <c r="J77" i="17" s="1"/>
  <c r="O76" i="17"/>
  <c r="I76" i="17"/>
  <c r="J76" i="17" s="1"/>
  <c r="O75" i="17"/>
  <c r="I75" i="17"/>
  <c r="J75" i="17" s="1"/>
  <c r="O74" i="17"/>
  <c r="M74" i="17"/>
  <c r="N74" i="17" s="1"/>
  <c r="I74" i="17"/>
  <c r="J74" i="17" s="1"/>
  <c r="O73" i="17"/>
  <c r="M73" i="17"/>
  <c r="N73" i="17" s="1"/>
  <c r="I73" i="17"/>
  <c r="J73" i="17" s="1"/>
  <c r="P68" i="17"/>
  <c r="S67" i="17"/>
  <c r="P67" i="17"/>
  <c r="P66" i="17"/>
  <c r="P65" i="17"/>
  <c r="Q65" i="17" s="1"/>
  <c r="S65" i="17" s="1"/>
  <c r="P64" i="17"/>
  <c r="P63" i="17"/>
  <c r="Q63" i="17" s="1"/>
  <c r="S63" i="17" s="1"/>
  <c r="P62" i="17"/>
  <c r="P61" i="17"/>
  <c r="P60" i="17"/>
  <c r="P59" i="17"/>
  <c r="P58" i="17"/>
  <c r="P57" i="17"/>
  <c r="P56" i="17"/>
  <c r="P55" i="17"/>
  <c r="P54" i="17"/>
  <c r="P53" i="17"/>
  <c r="P52" i="17"/>
  <c r="P51" i="17"/>
  <c r="P50" i="17"/>
  <c r="O37" i="17"/>
  <c r="I37" i="17"/>
  <c r="J37" i="17" s="1"/>
  <c r="I36" i="17"/>
  <c r="J36" i="17" s="1"/>
  <c r="I35" i="17"/>
  <c r="J35" i="17" s="1"/>
  <c r="I34" i="17"/>
  <c r="J34" i="17" s="1"/>
  <c r="I33" i="17"/>
  <c r="J33" i="17" s="1"/>
  <c r="I32" i="17"/>
  <c r="J32" i="17" s="1"/>
  <c r="N24" i="17"/>
  <c r="L24" i="17"/>
  <c r="J24" i="17"/>
  <c r="H24" i="17"/>
  <c r="F24" i="17"/>
  <c r="D24" i="17"/>
  <c r="B24" i="17"/>
  <c r="P24" i="17" s="1"/>
  <c r="P23" i="17"/>
  <c r="Q23" i="17" s="1"/>
  <c r="S23" i="17" s="1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O78" i="16"/>
  <c r="I78" i="16"/>
  <c r="J78" i="16" s="1"/>
  <c r="O77" i="16"/>
  <c r="I77" i="16"/>
  <c r="J77" i="16" s="1"/>
  <c r="O76" i="16"/>
  <c r="I76" i="16"/>
  <c r="J76" i="16" s="1"/>
  <c r="O75" i="16"/>
  <c r="I75" i="16"/>
  <c r="J75" i="16" s="1"/>
  <c r="O74" i="16"/>
  <c r="I74" i="16"/>
  <c r="J74" i="16" s="1"/>
  <c r="O73" i="16"/>
  <c r="I73" i="16"/>
  <c r="J73" i="16" s="1"/>
  <c r="P68" i="16"/>
  <c r="S67" i="16"/>
  <c r="P67" i="16"/>
  <c r="P66" i="16"/>
  <c r="P65" i="16"/>
  <c r="P64" i="16"/>
  <c r="P63" i="16"/>
  <c r="P62" i="16"/>
  <c r="P61" i="16"/>
  <c r="P60" i="16"/>
  <c r="P59" i="16"/>
  <c r="P58" i="16"/>
  <c r="P57" i="16"/>
  <c r="P56" i="16"/>
  <c r="P55" i="16"/>
  <c r="P54" i="16"/>
  <c r="P53" i="16"/>
  <c r="P52" i="16"/>
  <c r="P51" i="16"/>
  <c r="P50" i="16"/>
  <c r="O37" i="16"/>
  <c r="I37" i="16"/>
  <c r="J37" i="16" s="1"/>
  <c r="I36" i="16"/>
  <c r="J36" i="16" s="1"/>
  <c r="I35" i="16"/>
  <c r="J35" i="16" s="1"/>
  <c r="J34" i="16"/>
  <c r="I34" i="16"/>
  <c r="I33" i="16"/>
  <c r="J33" i="16" s="1"/>
  <c r="J32" i="16"/>
  <c r="N24" i="16"/>
  <c r="L24" i="16"/>
  <c r="J24" i="16"/>
  <c r="H24" i="16"/>
  <c r="F24" i="16"/>
  <c r="D24" i="16"/>
  <c r="B24" i="16"/>
  <c r="P24" i="16" s="1"/>
  <c r="P23" i="16"/>
  <c r="Q23" i="16" s="1"/>
  <c r="P22" i="16"/>
  <c r="P21" i="16"/>
  <c r="P20" i="16"/>
  <c r="P19" i="16"/>
  <c r="P18" i="16"/>
  <c r="P17" i="16"/>
  <c r="P16" i="16"/>
  <c r="P15" i="16"/>
  <c r="P14" i="16"/>
  <c r="P13" i="16"/>
  <c r="P12" i="16"/>
  <c r="P11" i="16"/>
  <c r="P10" i="16"/>
  <c r="P9" i="16"/>
  <c r="P8" i="16"/>
  <c r="P7" i="16"/>
  <c r="P6" i="16"/>
  <c r="O78" i="15"/>
  <c r="I78" i="15"/>
  <c r="J78" i="15" s="1"/>
  <c r="O77" i="15"/>
  <c r="I77" i="15"/>
  <c r="J77" i="15" s="1"/>
  <c r="O76" i="15"/>
  <c r="I76" i="15"/>
  <c r="J76" i="15" s="1"/>
  <c r="O75" i="15"/>
  <c r="I75" i="15"/>
  <c r="J75" i="15" s="1"/>
  <c r="O74" i="15"/>
  <c r="M74" i="15"/>
  <c r="N74" i="15" s="1"/>
  <c r="I74" i="15"/>
  <c r="J74" i="15" s="1"/>
  <c r="O73" i="15"/>
  <c r="M73" i="15"/>
  <c r="N73" i="15" s="1"/>
  <c r="I73" i="15"/>
  <c r="J73" i="15" s="1"/>
  <c r="P68" i="15"/>
  <c r="S67" i="15"/>
  <c r="P67" i="15"/>
  <c r="P66" i="15"/>
  <c r="P65" i="15"/>
  <c r="P64" i="15"/>
  <c r="P63" i="15"/>
  <c r="P62" i="15"/>
  <c r="P61" i="15"/>
  <c r="P60" i="15"/>
  <c r="P59" i="15"/>
  <c r="P58" i="15"/>
  <c r="P57" i="15"/>
  <c r="P56" i="15"/>
  <c r="P55" i="15"/>
  <c r="P54" i="15"/>
  <c r="P53" i="15"/>
  <c r="P52" i="15"/>
  <c r="P51" i="15"/>
  <c r="P50" i="15"/>
  <c r="O37" i="15"/>
  <c r="I37" i="15"/>
  <c r="J37" i="15" s="1"/>
  <c r="I36" i="15"/>
  <c r="J36" i="15" s="1"/>
  <c r="I35" i="15"/>
  <c r="J35" i="15" s="1"/>
  <c r="J34" i="15"/>
  <c r="I34" i="15"/>
  <c r="I33" i="15"/>
  <c r="J33" i="15" s="1"/>
  <c r="I32" i="15"/>
  <c r="J32" i="15" s="1"/>
  <c r="N24" i="15"/>
  <c r="L24" i="15"/>
  <c r="J24" i="15"/>
  <c r="H24" i="15"/>
  <c r="F24" i="15"/>
  <c r="D24" i="15"/>
  <c r="B24" i="15"/>
  <c r="P24" i="15" s="1"/>
  <c r="P23" i="15"/>
  <c r="Q23" i="15" s="1"/>
  <c r="P22" i="15"/>
  <c r="P21" i="15"/>
  <c r="P20" i="15"/>
  <c r="P19" i="15"/>
  <c r="P18" i="15"/>
  <c r="P17" i="15"/>
  <c r="P16" i="15"/>
  <c r="P15" i="15"/>
  <c r="P14" i="15"/>
  <c r="P13" i="15"/>
  <c r="P12" i="15"/>
  <c r="P11" i="15"/>
  <c r="P10" i="15"/>
  <c r="P9" i="15"/>
  <c r="P8" i="15"/>
  <c r="P7" i="15"/>
  <c r="P6" i="15"/>
  <c r="O78" i="14"/>
  <c r="I78" i="14"/>
  <c r="J78" i="14" s="1"/>
  <c r="O77" i="14"/>
  <c r="I77" i="14"/>
  <c r="J77" i="14" s="1"/>
  <c r="O76" i="14"/>
  <c r="I76" i="14"/>
  <c r="J76" i="14" s="1"/>
  <c r="O75" i="14"/>
  <c r="I75" i="14"/>
  <c r="J75" i="14" s="1"/>
  <c r="O74" i="14"/>
  <c r="M74" i="14"/>
  <c r="N74" i="14" s="1"/>
  <c r="I74" i="14"/>
  <c r="J74" i="14" s="1"/>
  <c r="O73" i="14"/>
  <c r="P73" i="14" s="1"/>
  <c r="S73" i="14" s="1"/>
  <c r="M73" i="14"/>
  <c r="N73" i="14" s="1"/>
  <c r="I73" i="14"/>
  <c r="J73" i="14" s="1"/>
  <c r="P68" i="14"/>
  <c r="S67" i="14"/>
  <c r="P67" i="14"/>
  <c r="P66" i="14"/>
  <c r="P65" i="14"/>
  <c r="Q65" i="14" s="1"/>
  <c r="S65" i="14" s="1"/>
  <c r="C73" i="14" s="1"/>
  <c r="P64" i="14"/>
  <c r="P63" i="14"/>
  <c r="P62" i="14"/>
  <c r="P61" i="14"/>
  <c r="P60" i="14"/>
  <c r="P59" i="14"/>
  <c r="P58" i="14"/>
  <c r="P57" i="14"/>
  <c r="P56" i="14"/>
  <c r="P55" i="14"/>
  <c r="P54" i="14"/>
  <c r="P53" i="14"/>
  <c r="P52" i="14"/>
  <c r="P51" i="14"/>
  <c r="P50" i="14"/>
  <c r="O37" i="14"/>
  <c r="I37" i="14"/>
  <c r="J37" i="14" s="1"/>
  <c r="I36" i="14"/>
  <c r="J36" i="14" s="1"/>
  <c r="I35" i="14"/>
  <c r="J35" i="14" s="1"/>
  <c r="I34" i="14"/>
  <c r="J34" i="14" s="1"/>
  <c r="J33" i="14"/>
  <c r="I33" i="14"/>
  <c r="I32" i="14"/>
  <c r="J32" i="14" s="1"/>
  <c r="N24" i="14"/>
  <c r="L24" i="14"/>
  <c r="J24" i="14"/>
  <c r="H24" i="14"/>
  <c r="F24" i="14"/>
  <c r="D24" i="14"/>
  <c r="B24" i="14"/>
  <c r="P24" i="14" s="1"/>
  <c r="P23" i="14"/>
  <c r="Q23" i="14" s="1"/>
  <c r="S23" i="14" s="1"/>
  <c r="P22" i="14"/>
  <c r="P21" i="14"/>
  <c r="P20" i="14"/>
  <c r="P19" i="14"/>
  <c r="P18" i="14"/>
  <c r="P17" i="14"/>
  <c r="P16" i="14"/>
  <c r="P15" i="14"/>
  <c r="P14" i="14"/>
  <c r="P13" i="14"/>
  <c r="P12" i="14"/>
  <c r="P11" i="14"/>
  <c r="P10" i="14"/>
  <c r="P9" i="14"/>
  <c r="P8" i="14"/>
  <c r="P7" i="14"/>
  <c r="P6" i="14"/>
  <c r="O78" i="13"/>
  <c r="I78" i="13"/>
  <c r="J78" i="13" s="1"/>
  <c r="O77" i="13"/>
  <c r="I77" i="13"/>
  <c r="J77" i="13" s="1"/>
  <c r="O76" i="13"/>
  <c r="I76" i="13"/>
  <c r="J76" i="13" s="1"/>
  <c r="O75" i="13"/>
  <c r="I75" i="13"/>
  <c r="J75" i="13" s="1"/>
  <c r="O74" i="13"/>
  <c r="M74" i="13"/>
  <c r="N74" i="13" s="1"/>
  <c r="I74" i="13"/>
  <c r="J74" i="13" s="1"/>
  <c r="O73" i="13"/>
  <c r="M73" i="13"/>
  <c r="N73" i="13" s="1"/>
  <c r="I73" i="13"/>
  <c r="J73" i="13" s="1"/>
  <c r="P65" i="13"/>
  <c r="P64" i="13"/>
  <c r="Q64" i="13" s="1"/>
  <c r="S64" i="13" s="1"/>
  <c r="P63" i="13"/>
  <c r="P62" i="13"/>
  <c r="P61" i="13"/>
  <c r="P60" i="13"/>
  <c r="P59" i="13"/>
  <c r="P58" i="13"/>
  <c r="P57" i="13"/>
  <c r="P56" i="13"/>
  <c r="P55" i="13"/>
  <c r="P54" i="13"/>
  <c r="P53" i="13"/>
  <c r="P52" i="13"/>
  <c r="P51" i="13"/>
  <c r="P50" i="13"/>
  <c r="O37" i="13"/>
  <c r="I37" i="13"/>
  <c r="J37" i="13" s="1"/>
  <c r="I36" i="13"/>
  <c r="J36" i="13" s="1"/>
  <c r="I35" i="13"/>
  <c r="J35" i="13" s="1"/>
  <c r="J34" i="13"/>
  <c r="I34" i="13"/>
  <c r="I33" i="13"/>
  <c r="J33" i="13" s="1"/>
  <c r="I32" i="13"/>
  <c r="J32" i="13" s="1"/>
  <c r="N21" i="13"/>
  <c r="L21" i="13"/>
  <c r="J21" i="13"/>
  <c r="H21" i="13"/>
  <c r="D21" i="13"/>
  <c r="B21" i="13"/>
  <c r="P21" i="13" s="1"/>
  <c r="P20" i="13"/>
  <c r="Q20" i="13" s="1"/>
  <c r="P19" i="13"/>
  <c r="P18" i="13"/>
  <c r="P17" i="13"/>
  <c r="P16" i="13"/>
  <c r="P15" i="13"/>
  <c r="P14" i="13"/>
  <c r="P13" i="13"/>
  <c r="P12" i="13"/>
  <c r="P11" i="13"/>
  <c r="P10" i="13"/>
  <c r="P9" i="13"/>
  <c r="P8" i="13"/>
  <c r="P7" i="13"/>
  <c r="P6" i="13"/>
  <c r="O78" i="12"/>
  <c r="I78" i="12"/>
  <c r="J78" i="12" s="1"/>
  <c r="O77" i="12"/>
  <c r="I77" i="12"/>
  <c r="J77" i="12" s="1"/>
  <c r="O76" i="12"/>
  <c r="I76" i="12"/>
  <c r="J76" i="12" s="1"/>
  <c r="O75" i="12"/>
  <c r="I75" i="12"/>
  <c r="J75" i="12" s="1"/>
  <c r="O74" i="12"/>
  <c r="M74" i="12"/>
  <c r="N74" i="12" s="1"/>
  <c r="I74" i="12"/>
  <c r="J74" i="12" s="1"/>
  <c r="O73" i="12"/>
  <c r="M73" i="12"/>
  <c r="N73" i="12" s="1"/>
  <c r="I73" i="12"/>
  <c r="J73" i="12" s="1"/>
  <c r="P65" i="12"/>
  <c r="P64" i="12"/>
  <c r="Q64" i="12" s="1"/>
  <c r="S64" i="12" s="1"/>
  <c r="P63" i="12"/>
  <c r="Q63" i="12" s="1"/>
  <c r="S63" i="12" s="1"/>
  <c r="P62" i="12"/>
  <c r="P61" i="12"/>
  <c r="P60" i="12"/>
  <c r="P59" i="12"/>
  <c r="P58" i="12"/>
  <c r="P57" i="12"/>
  <c r="P56" i="12"/>
  <c r="P55" i="12"/>
  <c r="P54" i="12"/>
  <c r="P53" i="12"/>
  <c r="P52" i="12"/>
  <c r="P51" i="12"/>
  <c r="P50" i="12"/>
  <c r="O37" i="12"/>
  <c r="I37" i="12"/>
  <c r="J37" i="12" s="1"/>
  <c r="I36" i="12"/>
  <c r="J36" i="12" s="1"/>
  <c r="I35" i="12"/>
  <c r="J35" i="12" s="1"/>
  <c r="J34" i="12"/>
  <c r="I34" i="12"/>
  <c r="J33" i="12"/>
  <c r="I33" i="12"/>
  <c r="I32" i="12"/>
  <c r="J32" i="12" s="1"/>
  <c r="N21" i="12"/>
  <c r="L21" i="12"/>
  <c r="J21" i="12"/>
  <c r="H21" i="12"/>
  <c r="F21" i="12"/>
  <c r="D21" i="12"/>
  <c r="P21" i="12" s="1"/>
  <c r="P20" i="12"/>
  <c r="Q20" i="12" s="1"/>
  <c r="P19" i="12"/>
  <c r="P18" i="12"/>
  <c r="P17" i="12"/>
  <c r="P16" i="12"/>
  <c r="P15" i="12"/>
  <c r="P14" i="12"/>
  <c r="P13" i="12"/>
  <c r="P12" i="12"/>
  <c r="P11" i="12"/>
  <c r="P10" i="12"/>
  <c r="P9" i="12"/>
  <c r="P8" i="12"/>
  <c r="P7" i="12"/>
  <c r="P6" i="12"/>
  <c r="O78" i="11"/>
  <c r="I78" i="11"/>
  <c r="J78" i="11" s="1"/>
  <c r="O77" i="11"/>
  <c r="I77" i="11"/>
  <c r="J77" i="11" s="1"/>
  <c r="O76" i="11"/>
  <c r="I76" i="11"/>
  <c r="J76" i="11" s="1"/>
  <c r="O75" i="11"/>
  <c r="I75" i="11"/>
  <c r="J75" i="11" s="1"/>
  <c r="O74" i="11"/>
  <c r="M74" i="11"/>
  <c r="N74" i="11" s="1"/>
  <c r="I74" i="11"/>
  <c r="J74" i="11" s="1"/>
  <c r="O73" i="11"/>
  <c r="M73" i="11"/>
  <c r="N73" i="11" s="1"/>
  <c r="I73" i="11"/>
  <c r="J73" i="11" s="1"/>
  <c r="P65" i="11"/>
  <c r="P64" i="11"/>
  <c r="Q64" i="11" s="1"/>
  <c r="S64" i="11" s="1"/>
  <c r="P63" i="11"/>
  <c r="P62" i="11"/>
  <c r="P61" i="11"/>
  <c r="P60" i="11"/>
  <c r="P59" i="11"/>
  <c r="P58" i="11"/>
  <c r="P57" i="11"/>
  <c r="P56" i="11"/>
  <c r="P55" i="11"/>
  <c r="P54" i="11"/>
  <c r="P53" i="11"/>
  <c r="P52" i="11"/>
  <c r="P51" i="11"/>
  <c r="P50" i="11"/>
  <c r="O37" i="11"/>
  <c r="I37" i="11"/>
  <c r="J37" i="11" s="1"/>
  <c r="I36" i="11"/>
  <c r="J36" i="11" s="1"/>
  <c r="I35" i="11"/>
  <c r="J35" i="11" s="1"/>
  <c r="J34" i="11"/>
  <c r="I34" i="11"/>
  <c r="I33" i="11"/>
  <c r="J33" i="11" s="1"/>
  <c r="J32" i="11"/>
  <c r="I32" i="11"/>
  <c r="N21" i="11"/>
  <c r="L21" i="11"/>
  <c r="J21" i="11"/>
  <c r="H21" i="11"/>
  <c r="F21" i="11"/>
  <c r="D21" i="11"/>
  <c r="P21" i="11" s="1"/>
  <c r="B21" i="11"/>
  <c r="P20" i="11"/>
  <c r="Q20" i="11" s="1"/>
  <c r="P19" i="11"/>
  <c r="P18" i="11"/>
  <c r="P17" i="11"/>
  <c r="P16" i="11"/>
  <c r="P15" i="11"/>
  <c r="P14" i="11"/>
  <c r="P13" i="11"/>
  <c r="P12" i="11"/>
  <c r="P11" i="11"/>
  <c r="P10" i="11"/>
  <c r="P9" i="11"/>
  <c r="P8" i="11"/>
  <c r="P7" i="11"/>
  <c r="P6" i="11"/>
  <c r="O78" i="10"/>
  <c r="I78" i="10"/>
  <c r="J78" i="10" s="1"/>
  <c r="O77" i="10"/>
  <c r="I77" i="10"/>
  <c r="J77" i="10" s="1"/>
  <c r="O76" i="10"/>
  <c r="I76" i="10"/>
  <c r="J76" i="10" s="1"/>
  <c r="O75" i="10"/>
  <c r="I75" i="10"/>
  <c r="J75" i="10" s="1"/>
  <c r="O74" i="10"/>
  <c r="M74" i="10"/>
  <c r="N74" i="10" s="1"/>
  <c r="O73" i="10"/>
  <c r="M73" i="10"/>
  <c r="N73" i="10" s="1"/>
  <c r="P65" i="10"/>
  <c r="P64" i="10"/>
  <c r="Q64" i="10" s="1"/>
  <c r="S64" i="10" s="1"/>
  <c r="P63" i="10"/>
  <c r="Q63" i="10" s="1"/>
  <c r="S63" i="10" s="1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O37" i="10"/>
  <c r="I37" i="10"/>
  <c r="J37" i="10" s="1"/>
  <c r="O36" i="10"/>
  <c r="I36" i="10"/>
  <c r="J36" i="10" s="1"/>
  <c r="O35" i="10"/>
  <c r="I35" i="10"/>
  <c r="J35" i="10" s="1"/>
  <c r="O34" i="10"/>
  <c r="O33" i="10"/>
  <c r="M33" i="10"/>
  <c r="N33" i="10" s="1"/>
  <c r="M32" i="10"/>
  <c r="N32" i="10" s="1"/>
  <c r="P32" i="10" s="1"/>
  <c r="S32" i="10" s="1"/>
  <c r="N21" i="10"/>
  <c r="L21" i="10"/>
  <c r="J21" i="10"/>
  <c r="H21" i="10"/>
  <c r="F21" i="10"/>
  <c r="D21" i="10"/>
  <c r="P21" i="10" s="1"/>
  <c r="B21" i="10"/>
  <c r="P20" i="10"/>
  <c r="Q20" i="10" s="1"/>
  <c r="P19" i="10"/>
  <c r="P18" i="10"/>
  <c r="P17" i="10"/>
  <c r="P16" i="10"/>
  <c r="P15" i="10"/>
  <c r="P14" i="10"/>
  <c r="P13" i="10"/>
  <c r="P12" i="10"/>
  <c r="P11" i="10"/>
  <c r="P10" i="10"/>
  <c r="P9" i="10"/>
  <c r="P8" i="10"/>
  <c r="P7" i="10"/>
  <c r="P6" i="10"/>
  <c r="O78" i="9"/>
  <c r="I78" i="9"/>
  <c r="J78" i="9" s="1"/>
  <c r="O77" i="9"/>
  <c r="I77" i="9"/>
  <c r="J77" i="9" s="1"/>
  <c r="O76" i="9"/>
  <c r="I76" i="9"/>
  <c r="J76" i="9" s="1"/>
  <c r="O75" i="9"/>
  <c r="I75" i="9"/>
  <c r="J75" i="9" s="1"/>
  <c r="O74" i="9"/>
  <c r="M74" i="9"/>
  <c r="N74" i="9" s="1"/>
  <c r="O73" i="9"/>
  <c r="M73" i="9"/>
  <c r="N73" i="9" s="1"/>
  <c r="P65" i="9"/>
  <c r="P64" i="9"/>
  <c r="Q64" i="9" s="1"/>
  <c r="S64" i="9" s="1"/>
  <c r="C75" i="9" s="1"/>
  <c r="P63" i="9"/>
  <c r="Q63" i="9" s="1"/>
  <c r="S63" i="9" s="1"/>
  <c r="D75" i="9" s="1"/>
  <c r="P62" i="9"/>
  <c r="P61" i="9"/>
  <c r="P60" i="9"/>
  <c r="P59" i="9"/>
  <c r="P58" i="9"/>
  <c r="P57" i="9"/>
  <c r="P56" i="9"/>
  <c r="P55" i="9"/>
  <c r="P54" i="9"/>
  <c r="P53" i="9"/>
  <c r="P52" i="9"/>
  <c r="P51" i="9"/>
  <c r="P50" i="9"/>
  <c r="O37" i="9"/>
  <c r="I37" i="9"/>
  <c r="J37" i="9" s="1"/>
  <c r="O36" i="9"/>
  <c r="I36" i="9"/>
  <c r="J36" i="9" s="1"/>
  <c r="O35" i="9"/>
  <c r="I35" i="9"/>
  <c r="J35" i="9" s="1"/>
  <c r="O34" i="9"/>
  <c r="O33" i="9"/>
  <c r="M33" i="9"/>
  <c r="N33" i="9" s="1"/>
  <c r="M32" i="9"/>
  <c r="N32" i="9" s="1"/>
  <c r="P32" i="9" s="1"/>
  <c r="S32" i="9" s="1"/>
  <c r="N21" i="9"/>
  <c r="L21" i="9"/>
  <c r="J21" i="9"/>
  <c r="H21" i="9"/>
  <c r="F21" i="9"/>
  <c r="D21" i="9"/>
  <c r="B21" i="9"/>
  <c r="P21" i="9" s="1"/>
  <c r="P20" i="9"/>
  <c r="Q20" i="9" s="1"/>
  <c r="P19" i="9"/>
  <c r="P18" i="9"/>
  <c r="P17" i="9"/>
  <c r="P16" i="9"/>
  <c r="P15" i="9"/>
  <c r="P14" i="9"/>
  <c r="P13" i="9"/>
  <c r="P12" i="9"/>
  <c r="P11" i="9"/>
  <c r="P10" i="9"/>
  <c r="P9" i="9"/>
  <c r="P8" i="9"/>
  <c r="P7" i="9"/>
  <c r="P6" i="9"/>
  <c r="O78" i="8"/>
  <c r="I78" i="8"/>
  <c r="J78" i="8" s="1"/>
  <c r="O77" i="8"/>
  <c r="I77" i="8"/>
  <c r="J77" i="8" s="1"/>
  <c r="O76" i="8"/>
  <c r="I76" i="8"/>
  <c r="J76" i="8" s="1"/>
  <c r="O75" i="8"/>
  <c r="I75" i="8"/>
  <c r="J75" i="8" s="1"/>
  <c r="O74" i="8"/>
  <c r="M74" i="8"/>
  <c r="N74" i="8" s="1"/>
  <c r="O73" i="8"/>
  <c r="M73" i="8"/>
  <c r="N73" i="8" s="1"/>
  <c r="P65" i="8"/>
  <c r="P64" i="8"/>
  <c r="Q64" i="8" s="1"/>
  <c r="S64" i="8" s="1"/>
  <c r="P63" i="8"/>
  <c r="Q63" i="8" s="1"/>
  <c r="S63" i="8" s="1"/>
  <c r="P62" i="8"/>
  <c r="P61" i="8"/>
  <c r="P60" i="8"/>
  <c r="P59" i="8"/>
  <c r="P58" i="8"/>
  <c r="P57" i="8"/>
  <c r="P56" i="8"/>
  <c r="P55" i="8"/>
  <c r="P54" i="8"/>
  <c r="P53" i="8"/>
  <c r="P52" i="8"/>
  <c r="P51" i="8"/>
  <c r="P50" i="8"/>
  <c r="O37" i="8"/>
  <c r="I37" i="8"/>
  <c r="J37" i="8" s="1"/>
  <c r="O36" i="8"/>
  <c r="I36" i="8"/>
  <c r="J36" i="8" s="1"/>
  <c r="O35" i="8"/>
  <c r="I35" i="8"/>
  <c r="J35" i="8" s="1"/>
  <c r="O34" i="8"/>
  <c r="O33" i="8"/>
  <c r="M33" i="8"/>
  <c r="N33" i="8" s="1"/>
  <c r="M32" i="8"/>
  <c r="N32" i="8" s="1"/>
  <c r="P32" i="8" s="1"/>
  <c r="S32" i="8" s="1"/>
  <c r="N21" i="8"/>
  <c r="L21" i="8"/>
  <c r="J21" i="8"/>
  <c r="H21" i="8"/>
  <c r="F21" i="8"/>
  <c r="D21" i="8"/>
  <c r="B21" i="8"/>
  <c r="P21" i="8" s="1"/>
  <c r="P20" i="8"/>
  <c r="Q20" i="8" s="1"/>
  <c r="S20" i="8" s="1"/>
  <c r="P19" i="8"/>
  <c r="P18" i="8"/>
  <c r="P17" i="8"/>
  <c r="P16" i="8"/>
  <c r="P15" i="8"/>
  <c r="P14" i="8"/>
  <c r="P13" i="8"/>
  <c r="P12" i="8"/>
  <c r="P11" i="8"/>
  <c r="P10" i="8"/>
  <c r="P9" i="8"/>
  <c r="P8" i="8"/>
  <c r="P7" i="8"/>
  <c r="O78" i="7"/>
  <c r="Q78" i="7" s="1"/>
  <c r="I78" i="7"/>
  <c r="J78" i="7" s="1"/>
  <c r="O77" i="7"/>
  <c r="Q77" i="7" s="1"/>
  <c r="I77" i="7"/>
  <c r="J77" i="7" s="1"/>
  <c r="O76" i="7"/>
  <c r="Q76" i="7" s="1"/>
  <c r="I76" i="7"/>
  <c r="J76" i="7" s="1"/>
  <c r="O75" i="7"/>
  <c r="Q75" i="7" s="1"/>
  <c r="I75" i="7"/>
  <c r="J75" i="7" s="1"/>
  <c r="O74" i="7"/>
  <c r="Q74" i="7" s="1"/>
  <c r="O73" i="7"/>
  <c r="Q73" i="7" s="1"/>
  <c r="M73" i="7"/>
  <c r="N73" i="7" s="1"/>
  <c r="S73" i="7" s="1"/>
  <c r="P65" i="7"/>
  <c r="P64" i="7"/>
  <c r="Q64" i="7" s="1"/>
  <c r="S64" i="7" s="1"/>
  <c r="C75" i="7" s="1"/>
  <c r="P63" i="7"/>
  <c r="P62" i="7"/>
  <c r="P61" i="7"/>
  <c r="P60" i="7"/>
  <c r="P59" i="7"/>
  <c r="P58" i="7"/>
  <c r="P57" i="7"/>
  <c r="P56" i="7"/>
  <c r="P55" i="7"/>
  <c r="P54" i="7"/>
  <c r="P53" i="7"/>
  <c r="P52" i="7"/>
  <c r="P51" i="7"/>
  <c r="P50" i="7"/>
  <c r="O37" i="7"/>
  <c r="Q37" i="7" s="1"/>
  <c r="I37" i="7"/>
  <c r="J37" i="7" s="1"/>
  <c r="O36" i="7"/>
  <c r="Q36" i="7" s="1"/>
  <c r="I36" i="7"/>
  <c r="J36" i="7" s="1"/>
  <c r="O35" i="7"/>
  <c r="Q35" i="7" s="1"/>
  <c r="I35" i="7"/>
  <c r="J35" i="7" s="1"/>
  <c r="O34" i="7"/>
  <c r="Q34" i="7" s="1"/>
  <c r="J34" i="7"/>
  <c r="I34" i="7"/>
  <c r="O33" i="7"/>
  <c r="Q33" i="7" s="1"/>
  <c r="M33" i="7"/>
  <c r="N33" i="7" s="1"/>
  <c r="O32" i="7"/>
  <c r="Q32" i="7" s="1"/>
  <c r="M32" i="7"/>
  <c r="N32" i="7" s="1"/>
  <c r="N21" i="7"/>
  <c r="L21" i="7"/>
  <c r="J21" i="7"/>
  <c r="H21" i="7"/>
  <c r="F21" i="7"/>
  <c r="D21" i="7"/>
  <c r="B21" i="7"/>
  <c r="P21" i="7" s="1"/>
  <c r="P20" i="7"/>
  <c r="Q20" i="7" s="1"/>
  <c r="P19" i="7"/>
  <c r="P18" i="7"/>
  <c r="P17" i="7"/>
  <c r="P16" i="7"/>
  <c r="P15" i="7"/>
  <c r="P14" i="7"/>
  <c r="P13" i="7"/>
  <c r="P12" i="7"/>
  <c r="P11" i="7"/>
  <c r="P10" i="7"/>
  <c r="P9" i="7"/>
  <c r="P8" i="7"/>
  <c r="P7" i="7"/>
  <c r="P6" i="7"/>
  <c r="O78" i="6"/>
  <c r="I78" i="6"/>
  <c r="J78" i="6" s="1"/>
  <c r="O77" i="6"/>
  <c r="I77" i="6"/>
  <c r="J77" i="6" s="1"/>
  <c r="O76" i="6"/>
  <c r="I76" i="6"/>
  <c r="J76" i="6" s="1"/>
  <c r="O75" i="6"/>
  <c r="I75" i="6"/>
  <c r="J75" i="6" s="1"/>
  <c r="O74" i="6"/>
  <c r="O73" i="6"/>
  <c r="M73" i="6"/>
  <c r="N73" i="6" s="1"/>
  <c r="P65" i="6"/>
  <c r="P64" i="6"/>
  <c r="Q64" i="6" s="1"/>
  <c r="S64" i="6" s="1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O37" i="6"/>
  <c r="I37" i="6"/>
  <c r="J37" i="6" s="1"/>
  <c r="O36" i="6"/>
  <c r="I36" i="6"/>
  <c r="J36" i="6" s="1"/>
  <c r="O35" i="6"/>
  <c r="I35" i="6"/>
  <c r="J35" i="6" s="1"/>
  <c r="O34" i="6"/>
  <c r="O33" i="6"/>
  <c r="M33" i="6"/>
  <c r="N33" i="6" s="1"/>
  <c r="O32" i="6"/>
  <c r="M32" i="6"/>
  <c r="N32" i="6" s="1"/>
  <c r="N21" i="6"/>
  <c r="L21" i="6"/>
  <c r="J21" i="6"/>
  <c r="H21" i="6"/>
  <c r="F21" i="6"/>
  <c r="D21" i="6"/>
  <c r="P21" i="6" s="1"/>
  <c r="B21" i="6"/>
  <c r="P20" i="6"/>
  <c r="Q20" i="6" s="1"/>
  <c r="P19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O78" i="5"/>
  <c r="I78" i="5"/>
  <c r="J78" i="5" s="1"/>
  <c r="O77" i="5"/>
  <c r="I77" i="5"/>
  <c r="J77" i="5" s="1"/>
  <c r="O76" i="5"/>
  <c r="I76" i="5"/>
  <c r="J76" i="5" s="1"/>
  <c r="O75" i="5"/>
  <c r="I75" i="5"/>
  <c r="J75" i="5" s="1"/>
  <c r="O74" i="5"/>
  <c r="I74" i="5"/>
  <c r="J74" i="5" s="1"/>
  <c r="O73" i="5"/>
  <c r="P65" i="5"/>
  <c r="P64" i="5"/>
  <c r="Q64" i="5" s="1"/>
  <c r="S64" i="5" s="1"/>
  <c r="P63" i="5"/>
  <c r="Q63" i="5" s="1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O37" i="5"/>
  <c r="I37" i="5"/>
  <c r="J37" i="5" s="1"/>
  <c r="O36" i="5"/>
  <c r="I36" i="5"/>
  <c r="J36" i="5" s="1"/>
  <c r="O35" i="5"/>
  <c r="I35" i="5"/>
  <c r="J35" i="5" s="1"/>
  <c r="O34" i="5"/>
  <c r="I34" i="5"/>
  <c r="J34" i="5" s="1"/>
  <c r="O33" i="5"/>
  <c r="M33" i="5"/>
  <c r="N33" i="5" s="1"/>
  <c r="O32" i="5"/>
  <c r="M32" i="5"/>
  <c r="N32" i="5" s="1"/>
  <c r="N21" i="5"/>
  <c r="L21" i="5"/>
  <c r="J21" i="5"/>
  <c r="H21" i="5"/>
  <c r="F21" i="5"/>
  <c r="D21" i="5"/>
  <c r="B21" i="5"/>
  <c r="P21" i="5" s="1"/>
  <c r="P20" i="5"/>
  <c r="Q20" i="5" s="1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O78" i="4"/>
  <c r="I78" i="4"/>
  <c r="J78" i="4" s="1"/>
  <c r="O77" i="4"/>
  <c r="I77" i="4"/>
  <c r="J77" i="4" s="1"/>
  <c r="O76" i="4"/>
  <c r="I76" i="4"/>
  <c r="J76" i="4" s="1"/>
  <c r="O75" i="4"/>
  <c r="I75" i="4"/>
  <c r="J75" i="4" s="1"/>
  <c r="O74" i="4"/>
  <c r="O73" i="4"/>
  <c r="P65" i="4"/>
  <c r="P64" i="4"/>
  <c r="Q64" i="4" s="1"/>
  <c r="S64" i="4" s="1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O37" i="4"/>
  <c r="I37" i="4"/>
  <c r="J37" i="4" s="1"/>
  <c r="O36" i="4"/>
  <c r="I36" i="4"/>
  <c r="J36" i="4" s="1"/>
  <c r="O35" i="4"/>
  <c r="I35" i="4"/>
  <c r="J35" i="4" s="1"/>
  <c r="O34" i="4"/>
  <c r="I34" i="4"/>
  <c r="J34" i="4" s="1"/>
  <c r="O33" i="4"/>
  <c r="M33" i="4"/>
  <c r="N33" i="4" s="1"/>
  <c r="O32" i="4"/>
  <c r="M32" i="4"/>
  <c r="N32" i="4" s="1"/>
  <c r="N21" i="4"/>
  <c r="L21" i="4"/>
  <c r="J21" i="4"/>
  <c r="H21" i="4"/>
  <c r="F21" i="4"/>
  <c r="D21" i="4"/>
  <c r="B21" i="4"/>
  <c r="P21" i="4" s="1"/>
  <c r="P20" i="4"/>
  <c r="Q20" i="4" s="1"/>
  <c r="S20" i="4" s="1"/>
  <c r="C34" i="4" s="1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O78" i="3"/>
  <c r="I78" i="3"/>
  <c r="J78" i="3" s="1"/>
  <c r="O77" i="3"/>
  <c r="I77" i="3"/>
  <c r="J77" i="3" s="1"/>
  <c r="O76" i="3"/>
  <c r="I76" i="3"/>
  <c r="J76" i="3" s="1"/>
  <c r="O75" i="3"/>
  <c r="I75" i="3"/>
  <c r="J75" i="3" s="1"/>
  <c r="O74" i="3"/>
  <c r="I74" i="3"/>
  <c r="J74" i="3" s="1"/>
  <c r="O73" i="3"/>
  <c r="I73" i="3"/>
  <c r="J73" i="3" s="1"/>
  <c r="P65" i="3"/>
  <c r="P64" i="3"/>
  <c r="Q64" i="3" s="1"/>
  <c r="S64" i="3" s="1"/>
  <c r="C73" i="3" s="1"/>
  <c r="P63" i="3"/>
  <c r="Q63" i="3" s="1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O37" i="3"/>
  <c r="I37" i="3"/>
  <c r="J37" i="3" s="1"/>
  <c r="O36" i="3"/>
  <c r="I36" i="3"/>
  <c r="J36" i="3" s="1"/>
  <c r="O35" i="3"/>
  <c r="I35" i="3"/>
  <c r="J35" i="3" s="1"/>
  <c r="O34" i="3"/>
  <c r="I34" i="3"/>
  <c r="J34" i="3" s="1"/>
  <c r="O33" i="3"/>
  <c r="O32" i="3"/>
  <c r="M32" i="3"/>
  <c r="N32" i="3" s="1"/>
  <c r="N21" i="3"/>
  <c r="L21" i="3"/>
  <c r="J21" i="3"/>
  <c r="H21" i="3"/>
  <c r="F21" i="3"/>
  <c r="D21" i="3"/>
  <c r="B21" i="3"/>
  <c r="P21" i="3" s="1"/>
  <c r="P20" i="3"/>
  <c r="Q20" i="3" s="1"/>
  <c r="P19" i="3"/>
  <c r="P18" i="3"/>
  <c r="P17" i="3"/>
  <c r="P16" i="3"/>
  <c r="P15" i="3"/>
  <c r="P14" i="3"/>
  <c r="P13" i="3"/>
  <c r="P12" i="3"/>
  <c r="P11" i="3"/>
  <c r="P10" i="3"/>
  <c r="P9" i="3"/>
  <c r="P8" i="3"/>
  <c r="P7" i="3"/>
  <c r="P6" i="3"/>
  <c r="I78" i="2"/>
  <c r="J78" i="2" s="1"/>
  <c r="I77" i="2"/>
  <c r="J77" i="2" s="1"/>
  <c r="I76" i="2"/>
  <c r="J76" i="2" s="1"/>
  <c r="I75" i="2"/>
  <c r="J75" i="2" s="1"/>
  <c r="I74" i="2"/>
  <c r="J74" i="2" s="1"/>
  <c r="P65" i="2"/>
  <c r="P64" i="2"/>
  <c r="Q64" i="2" s="1"/>
  <c r="S64" i="2" s="1"/>
  <c r="P63" i="2"/>
  <c r="P62" i="2"/>
  <c r="P61" i="2"/>
  <c r="P60" i="2"/>
  <c r="P59" i="2"/>
  <c r="P58" i="2"/>
  <c r="P57" i="2"/>
  <c r="P56" i="2"/>
  <c r="P55" i="2"/>
  <c r="P54" i="2"/>
  <c r="P53" i="2"/>
  <c r="P52" i="2"/>
  <c r="P51" i="2"/>
  <c r="P50" i="2"/>
  <c r="I37" i="2"/>
  <c r="J37" i="2" s="1"/>
  <c r="I36" i="2"/>
  <c r="J36" i="2" s="1"/>
  <c r="I35" i="2"/>
  <c r="J35" i="2" s="1"/>
  <c r="G35" i="2"/>
  <c r="H35" i="2" s="1"/>
  <c r="I34" i="2"/>
  <c r="J34" i="2" s="1"/>
  <c r="M32" i="2"/>
  <c r="N32" i="2" s="1"/>
  <c r="S32" i="2" s="1"/>
  <c r="N21" i="2"/>
  <c r="L21" i="2"/>
  <c r="J21" i="2"/>
  <c r="H21" i="2"/>
  <c r="F21" i="2"/>
  <c r="D21" i="2"/>
  <c r="B21" i="2"/>
  <c r="P20" i="2"/>
  <c r="Q20" i="2" s="1"/>
  <c r="S20" i="2" s="1"/>
  <c r="P19" i="2"/>
  <c r="Q19" i="2" s="1"/>
  <c r="P18" i="2"/>
  <c r="P17" i="2"/>
  <c r="P16" i="2"/>
  <c r="P15" i="2"/>
  <c r="P14" i="2"/>
  <c r="P13" i="2"/>
  <c r="P12" i="2"/>
  <c r="P11" i="2"/>
  <c r="P10" i="2"/>
  <c r="P9" i="2"/>
  <c r="P8" i="2"/>
  <c r="P7" i="2"/>
  <c r="P6" i="2"/>
  <c r="I78" i="1"/>
  <c r="J78" i="1" s="1"/>
  <c r="I77" i="1"/>
  <c r="J77" i="1" s="1"/>
  <c r="I76" i="1"/>
  <c r="J76" i="1" s="1"/>
  <c r="G76" i="1"/>
  <c r="H76" i="1" s="1"/>
  <c r="K76" i="1" s="1"/>
  <c r="J75" i="1"/>
  <c r="I75" i="1"/>
  <c r="H75" i="1"/>
  <c r="K75" i="1" s="1"/>
  <c r="G75" i="1"/>
  <c r="I74" i="1"/>
  <c r="J74" i="1" s="1"/>
  <c r="P65" i="1"/>
  <c r="P64" i="1"/>
  <c r="Q64" i="1" s="1"/>
  <c r="S64" i="1" s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I37" i="1"/>
  <c r="J37" i="1" s="1"/>
  <c r="I36" i="1"/>
  <c r="J36" i="1" s="1"/>
  <c r="I35" i="1"/>
  <c r="J35" i="1" s="1"/>
  <c r="I34" i="1"/>
  <c r="J34" i="1" s="1"/>
  <c r="M33" i="1"/>
  <c r="N33" i="1" s="1"/>
  <c r="M32" i="1"/>
  <c r="N32" i="1" s="1"/>
  <c r="P23" i="1"/>
  <c r="P22" i="1"/>
  <c r="Q22" i="1" s="1"/>
  <c r="S22" i="1" s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32" i="1" l="1"/>
  <c r="P43" i="1"/>
  <c r="E49" i="28"/>
  <c r="C48" i="28"/>
  <c r="E48" i="28" s="1"/>
  <c r="S35" i="28"/>
  <c r="R35" i="28"/>
  <c r="P73" i="8"/>
  <c r="S73" i="8" s="1"/>
  <c r="C74" i="1"/>
  <c r="K35" i="2"/>
  <c r="P32" i="3"/>
  <c r="S32" i="3" s="1"/>
  <c r="P73" i="6"/>
  <c r="S73" i="6" s="1"/>
  <c r="B85" i="6" s="1"/>
  <c r="F85" i="6" s="1"/>
  <c r="P32" i="6"/>
  <c r="S32" i="6" s="1"/>
  <c r="C32" i="17"/>
  <c r="C33" i="17"/>
  <c r="Q63" i="2"/>
  <c r="Q62" i="2" s="1"/>
  <c r="P21" i="2"/>
  <c r="Q63" i="1"/>
  <c r="Q62" i="1" s="1"/>
  <c r="Q18" i="1"/>
  <c r="Q20" i="1"/>
  <c r="S20" i="1" s="1"/>
  <c r="Q63" i="4"/>
  <c r="P32" i="4"/>
  <c r="S32" i="4" s="1"/>
  <c r="Q63" i="6"/>
  <c r="S63" i="6" s="1"/>
  <c r="Q63" i="7"/>
  <c r="Q62" i="7" s="1"/>
  <c r="Q19" i="8"/>
  <c r="S19" i="8" s="1"/>
  <c r="Q63" i="11"/>
  <c r="S63" i="11" s="1"/>
  <c r="Q63" i="13"/>
  <c r="S63" i="13" s="1"/>
  <c r="Q64" i="14"/>
  <c r="S64" i="14" s="1"/>
  <c r="Q63" i="14"/>
  <c r="S63" i="14" s="1"/>
  <c r="Q66" i="14"/>
  <c r="S66" i="14" s="1"/>
  <c r="Q65" i="15"/>
  <c r="S65" i="15" s="1"/>
  <c r="C73" i="15" s="1"/>
  <c r="Q64" i="15"/>
  <c r="S64" i="15" s="1"/>
  <c r="D73" i="15" s="1"/>
  <c r="Q63" i="15"/>
  <c r="S63" i="15" s="1"/>
  <c r="Q66" i="15"/>
  <c r="S66" i="15" s="1"/>
  <c r="Q63" i="16"/>
  <c r="S63" i="16" s="1"/>
  <c r="Q65" i="16"/>
  <c r="S65" i="16" s="1"/>
  <c r="D73" i="16" s="1"/>
  <c r="Q64" i="16"/>
  <c r="S64" i="16" s="1"/>
  <c r="Q66" i="16"/>
  <c r="S66" i="16" s="1"/>
  <c r="C73" i="16" s="1"/>
  <c r="Q64" i="17"/>
  <c r="S64" i="17" s="1"/>
  <c r="D74" i="17" s="1"/>
  <c r="Q66" i="17"/>
  <c r="S66" i="17" s="1"/>
  <c r="Q64" i="18"/>
  <c r="S64" i="18" s="1"/>
  <c r="D73" i="18" s="1"/>
  <c r="Q63" i="18"/>
  <c r="S63" i="18" s="1"/>
  <c r="Q66" i="18"/>
  <c r="S66" i="18" s="1"/>
  <c r="Q64" i="19"/>
  <c r="S64" i="19" s="1"/>
  <c r="Q66" i="19"/>
  <c r="S66" i="19" s="1"/>
  <c r="Q63" i="19"/>
  <c r="Q62" i="19" s="1"/>
  <c r="Q65" i="19"/>
  <c r="S65" i="19" s="1"/>
  <c r="C74" i="19" s="1"/>
  <c r="Q63" i="20"/>
  <c r="S63" i="20" s="1"/>
  <c r="Q66" i="20"/>
  <c r="S66" i="20" s="1"/>
  <c r="D73" i="20" s="1"/>
  <c r="Q22" i="20"/>
  <c r="D74" i="20"/>
  <c r="G75" i="20"/>
  <c r="H75" i="20" s="1"/>
  <c r="K75" i="20" s="1"/>
  <c r="L75" i="20" s="1"/>
  <c r="C74" i="20"/>
  <c r="Q62" i="20"/>
  <c r="Q22" i="19"/>
  <c r="S63" i="19"/>
  <c r="D74" i="19"/>
  <c r="Q22" i="18"/>
  <c r="D74" i="18"/>
  <c r="C74" i="18"/>
  <c r="C73" i="18"/>
  <c r="Q62" i="18"/>
  <c r="Q22" i="17"/>
  <c r="P73" i="17"/>
  <c r="S73" i="17" s="1"/>
  <c r="C74" i="17"/>
  <c r="C73" i="17"/>
  <c r="Q62" i="17"/>
  <c r="S23" i="16"/>
  <c r="C32" i="16" s="1"/>
  <c r="Q22" i="16"/>
  <c r="D74" i="16"/>
  <c r="C74" i="16"/>
  <c r="Q62" i="16"/>
  <c r="S23" i="15"/>
  <c r="Q22" i="15"/>
  <c r="P73" i="15"/>
  <c r="S73" i="15" s="1"/>
  <c r="D74" i="15"/>
  <c r="C74" i="15"/>
  <c r="R73" i="14"/>
  <c r="Q22" i="14"/>
  <c r="P74" i="14"/>
  <c r="S74" i="14" s="1"/>
  <c r="Q62" i="14"/>
  <c r="S20" i="13"/>
  <c r="Q19" i="13"/>
  <c r="P73" i="13"/>
  <c r="S73" i="13" s="1"/>
  <c r="Q62" i="13"/>
  <c r="S20" i="12"/>
  <c r="Q19" i="12"/>
  <c r="P73" i="12"/>
  <c r="S73" i="12" s="1"/>
  <c r="Q62" i="12"/>
  <c r="S20" i="11"/>
  <c r="Q19" i="11"/>
  <c r="P73" i="11"/>
  <c r="S73" i="11" s="1"/>
  <c r="P74" i="11"/>
  <c r="S74" i="11" s="1"/>
  <c r="Q62" i="11"/>
  <c r="S20" i="10"/>
  <c r="C35" i="10" s="1"/>
  <c r="Q19" i="10"/>
  <c r="R32" i="10"/>
  <c r="P33" i="10"/>
  <c r="S33" i="10" s="1"/>
  <c r="P73" i="10"/>
  <c r="Q62" i="10"/>
  <c r="S20" i="9"/>
  <c r="C35" i="9" s="1"/>
  <c r="Q19" i="9"/>
  <c r="R32" i="9"/>
  <c r="P73" i="9"/>
  <c r="S73" i="9" s="1"/>
  <c r="P33" i="9"/>
  <c r="S33" i="9" s="1"/>
  <c r="Q62" i="9"/>
  <c r="Q18" i="8"/>
  <c r="R32" i="8"/>
  <c r="P33" i="8"/>
  <c r="S33" i="8" s="1"/>
  <c r="R73" i="8"/>
  <c r="P74" i="8"/>
  <c r="S74" i="8" s="1"/>
  <c r="Q62" i="8"/>
  <c r="S20" i="7"/>
  <c r="Q19" i="7"/>
  <c r="S63" i="7"/>
  <c r="D75" i="7" s="1"/>
  <c r="R73" i="7"/>
  <c r="P32" i="7"/>
  <c r="S32" i="7" s="1"/>
  <c r="S20" i="6"/>
  <c r="Q19" i="6"/>
  <c r="P33" i="6"/>
  <c r="S33" i="6" s="1"/>
  <c r="S20" i="5"/>
  <c r="C34" i="5" s="1"/>
  <c r="Q19" i="5"/>
  <c r="P33" i="5"/>
  <c r="S33" i="5" s="1"/>
  <c r="P32" i="5"/>
  <c r="S32" i="5" s="1"/>
  <c r="S63" i="5"/>
  <c r="Q62" i="5"/>
  <c r="P33" i="4"/>
  <c r="S33" i="4" s="1"/>
  <c r="Q19" i="4"/>
  <c r="S63" i="4"/>
  <c r="Q62" i="4"/>
  <c r="S20" i="3"/>
  <c r="Q19" i="3"/>
  <c r="S63" i="3"/>
  <c r="Q62" i="3"/>
  <c r="R32" i="2"/>
  <c r="M35" i="2"/>
  <c r="S19" i="2"/>
  <c r="Q18" i="2"/>
  <c r="M33" i="2"/>
  <c r="L35" i="2"/>
  <c r="S63" i="2"/>
  <c r="M76" i="1"/>
  <c r="L76" i="1"/>
  <c r="N76" i="1" s="1"/>
  <c r="S18" i="1"/>
  <c r="Q17" i="1"/>
  <c r="S17" i="1" s="1"/>
  <c r="S63" i="1"/>
  <c r="L75" i="1"/>
  <c r="M75" i="1"/>
  <c r="Q21" i="1"/>
  <c r="S21" i="1" s="1"/>
  <c r="Q19" i="1"/>
  <c r="S19" i="1" s="1"/>
  <c r="N22" i="26"/>
  <c r="L22" i="26"/>
  <c r="J22" i="26"/>
  <c r="H22" i="26"/>
  <c r="F22" i="26"/>
  <c r="D22" i="26"/>
  <c r="B22" i="26"/>
  <c r="N22" i="25"/>
  <c r="L22" i="25"/>
  <c r="J22" i="25"/>
  <c r="H22" i="25"/>
  <c r="F22" i="25"/>
  <c r="D22" i="25"/>
  <c r="B22" i="25"/>
  <c r="P22" i="25" s="1"/>
  <c r="N22" i="24"/>
  <c r="L22" i="24"/>
  <c r="J22" i="24"/>
  <c r="H22" i="24"/>
  <c r="F22" i="24"/>
  <c r="D22" i="24"/>
  <c r="B22" i="24"/>
  <c r="N22" i="23"/>
  <c r="L22" i="23"/>
  <c r="J22" i="23"/>
  <c r="H22" i="23"/>
  <c r="F22" i="23"/>
  <c r="D22" i="23"/>
  <c r="B22" i="23"/>
  <c r="N23" i="22"/>
  <c r="L23" i="22"/>
  <c r="J23" i="22"/>
  <c r="H23" i="22"/>
  <c r="F23" i="22"/>
  <c r="D23" i="22"/>
  <c r="B23" i="22"/>
  <c r="N23" i="21"/>
  <c r="L23" i="21"/>
  <c r="J23" i="21"/>
  <c r="H23" i="21"/>
  <c r="F23" i="21"/>
  <c r="D23" i="21"/>
  <c r="B23" i="21"/>
  <c r="C34" i="7" l="1"/>
  <c r="C35" i="7"/>
  <c r="R32" i="1"/>
  <c r="S32" i="1"/>
  <c r="D74" i="1"/>
  <c r="N35" i="2"/>
  <c r="D73" i="3"/>
  <c r="R32" i="3"/>
  <c r="R32" i="4"/>
  <c r="R73" i="6"/>
  <c r="R32" i="6"/>
  <c r="P33" i="7"/>
  <c r="S33" i="7" s="1"/>
  <c r="M34" i="8"/>
  <c r="P74" i="9"/>
  <c r="S74" i="9" s="1"/>
  <c r="P74" i="10"/>
  <c r="S74" i="10" s="1"/>
  <c r="S73" i="10"/>
  <c r="B85" i="10" s="1"/>
  <c r="F85" i="10" s="1"/>
  <c r="P74" i="13"/>
  <c r="S74" i="13" s="1"/>
  <c r="D73" i="14"/>
  <c r="G73" i="14" s="1"/>
  <c r="H73" i="14" s="1"/>
  <c r="P74" i="15"/>
  <c r="S74" i="15" s="1"/>
  <c r="P74" i="17"/>
  <c r="S74" i="17" s="1"/>
  <c r="D75" i="19"/>
  <c r="C75" i="19"/>
  <c r="Q62" i="6"/>
  <c r="S62" i="6" s="1"/>
  <c r="Q62" i="15"/>
  <c r="Q61" i="15" s="1"/>
  <c r="D73" i="17"/>
  <c r="G73" i="17" s="1"/>
  <c r="H73" i="17" s="1"/>
  <c r="G74" i="19"/>
  <c r="H74" i="19" s="1"/>
  <c r="K74" i="19" s="1"/>
  <c r="G73" i="20"/>
  <c r="H73" i="20" s="1"/>
  <c r="K73" i="20" s="1"/>
  <c r="M75" i="20"/>
  <c r="S62" i="20"/>
  <c r="Q61" i="20"/>
  <c r="G74" i="20"/>
  <c r="H74" i="20" s="1"/>
  <c r="K74" i="20" s="1"/>
  <c r="S22" i="20"/>
  <c r="Q21" i="20"/>
  <c r="G75" i="19"/>
  <c r="H75" i="19" s="1"/>
  <c r="K75" i="19" s="1"/>
  <c r="S62" i="19"/>
  <c r="Q61" i="19"/>
  <c r="S22" i="19"/>
  <c r="Q21" i="19"/>
  <c r="S62" i="18"/>
  <c r="Q61" i="18"/>
  <c r="G73" i="18"/>
  <c r="H73" i="18" s="1"/>
  <c r="K73" i="18" s="1"/>
  <c r="G74" i="18"/>
  <c r="H74" i="18" s="1"/>
  <c r="K74" i="18" s="1"/>
  <c r="S22" i="18"/>
  <c r="C32" i="18" s="1"/>
  <c r="Q21" i="18"/>
  <c r="R74" i="17"/>
  <c r="G74" i="17"/>
  <c r="H74" i="17" s="1"/>
  <c r="R73" i="17"/>
  <c r="S62" i="17"/>
  <c r="Q61" i="17"/>
  <c r="S22" i="17"/>
  <c r="Q21" i="17"/>
  <c r="S62" i="16"/>
  <c r="Q61" i="16"/>
  <c r="G73" i="16"/>
  <c r="H73" i="16" s="1"/>
  <c r="K73" i="16" s="1"/>
  <c r="S22" i="16"/>
  <c r="D32" i="16" s="1"/>
  <c r="Q21" i="16"/>
  <c r="G74" i="16"/>
  <c r="H74" i="16" s="1"/>
  <c r="K74" i="16" s="1"/>
  <c r="S62" i="15"/>
  <c r="G73" i="15"/>
  <c r="H73" i="15" s="1"/>
  <c r="S22" i="15"/>
  <c r="Q21" i="15"/>
  <c r="R74" i="15"/>
  <c r="G74" i="15"/>
  <c r="H74" i="15" s="1"/>
  <c r="R73" i="15"/>
  <c r="S62" i="14"/>
  <c r="G74" i="14" s="1"/>
  <c r="H74" i="14" s="1"/>
  <c r="Q61" i="14"/>
  <c r="R74" i="14"/>
  <c r="S22" i="14"/>
  <c r="Q21" i="14"/>
  <c r="S62" i="13"/>
  <c r="Q61" i="13"/>
  <c r="R73" i="13"/>
  <c r="S19" i="13"/>
  <c r="Q18" i="13"/>
  <c r="S62" i="12"/>
  <c r="Q61" i="12"/>
  <c r="R73" i="12"/>
  <c r="S19" i="12"/>
  <c r="Q18" i="12"/>
  <c r="P74" i="12"/>
  <c r="S74" i="12" s="1"/>
  <c r="S62" i="11"/>
  <c r="Q61" i="11"/>
  <c r="R73" i="11"/>
  <c r="S19" i="11"/>
  <c r="Q18" i="11"/>
  <c r="R74" i="11"/>
  <c r="S62" i="10"/>
  <c r="Q61" i="10"/>
  <c r="R73" i="10"/>
  <c r="S19" i="10"/>
  <c r="D35" i="10" s="1"/>
  <c r="Q18" i="10"/>
  <c r="R74" i="10"/>
  <c r="B86" i="10"/>
  <c r="F86" i="10" s="1"/>
  <c r="R33" i="10"/>
  <c r="S62" i="9"/>
  <c r="Q61" i="9"/>
  <c r="R33" i="9"/>
  <c r="D35" i="9"/>
  <c r="Q18" i="9"/>
  <c r="R73" i="9"/>
  <c r="B85" i="9"/>
  <c r="F85" i="9" s="1"/>
  <c r="S62" i="8"/>
  <c r="Q61" i="8"/>
  <c r="R33" i="8"/>
  <c r="B85" i="8"/>
  <c r="F85" i="8" s="1"/>
  <c r="R74" i="8"/>
  <c r="S18" i="8"/>
  <c r="Q17" i="8"/>
  <c r="B85" i="7"/>
  <c r="F85" i="7" s="1"/>
  <c r="R32" i="7"/>
  <c r="S62" i="7"/>
  <c r="Q61" i="7"/>
  <c r="S19" i="7"/>
  <c r="D35" i="7" s="1"/>
  <c r="Q18" i="7"/>
  <c r="S19" i="6"/>
  <c r="Q18" i="6"/>
  <c r="R33" i="6"/>
  <c r="S62" i="5"/>
  <c r="Q61" i="5"/>
  <c r="R32" i="5"/>
  <c r="S19" i="5"/>
  <c r="D34" i="5" s="1"/>
  <c r="Q18" i="5"/>
  <c r="R33" i="5"/>
  <c r="S62" i="4"/>
  <c r="Q61" i="4"/>
  <c r="S19" i="4"/>
  <c r="D34" i="4" s="1"/>
  <c r="Q18" i="4"/>
  <c r="R33" i="4"/>
  <c r="S62" i="3"/>
  <c r="Q61" i="3"/>
  <c r="M33" i="3"/>
  <c r="N33" i="3" s="1"/>
  <c r="P33" i="3" s="1"/>
  <c r="S33" i="3" s="1"/>
  <c r="S19" i="3"/>
  <c r="Q18" i="3"/>
  <c r="G73" i="3"/>
  <c r="H73" i="3" s="1"/>
  <c r="K73" i="3" s="1"/>
  <c r="L73" i="3" s="1"/>
  <c r="S62" i="2"/>
  <c r="Q61" i="2"/>
  <c r="S18" i="2"/>
  <c r="G34" i="2" s="1"/>
  <c r="H34" i="2" s="1"/>
  <c r="K34" i="2" s="1"/>
  <c r="M34" i="2" s="1"/>
  <c r="Q17" i="2"/>
  <c r="N33" i="2"/>
  <c r="S33" i="2" s="1"/>
  <c r="G34" i="1"/>
  <c r="H34" i="1" s="1"/>
  <c r="K34" i="1" s="1"/>
  <c r="S62" i="1"/>
  <c r="Q61" i="1"/>
  <c r="N75" i="1"/>
  <c r="Q16" i="1"/>
  <c r="R33" i="1" l="1"/>
  <c r="S33" i="1"/>
  <c r="L34" i="2"/>
  <c r="D34" i="7"/>
  <c r="R33" i="7"/>
  <c r="R74" i="9"/>
  <c r="C74" i="11"/>
  <c r="C32" i="11"/>
  <c r="C33" i="11"/>
  <c r="C73" i="13"/>
  <c r="C74" i="13"/>
  <c r="R74" i="13"/>
  <c r="C32" i="15"/>
  <c r="C33" i="15"/>
  <c r="M74" i="16"/>
  <c r="M73" i="16"/>
  <c r="L74" i="16"/>
  <c r="L73" i="16"/>
  <c r="C34" i="17"/>
  <c r="D33" i="17"/>
  <c r="M73" i="18"/>
  <c r="N73" i="18" s="1"/>
  <c r="L73" i="18"/>
  <c r="P73" i="18" s="1"/>
  <c r="M74" i="18"/>
  <c r="L74" i="18"/>
  <c r="G73" i="19"/>
  <c r="H73" i="19" s="1"/>
  <c r="K73" i="19" s="1"/>
  <c r="L75" i="19"/>
  <c r="M74" i="19"/>
  <c r="L74" i="19"/>
  <c r="M74" i="20"/>
  <c r="M73" i="20"/>
  <c r="N73" i="20" s="1"/>
  <c r="L74" i="20"/>
  <c r="L73" i="20"/>
  <c r="P73" i="20" s="1"/>
  <c r="Q61" i="6"/>
  <c r="Q60" i="6" s="1"/>
  <c r="N34" i="8"/>
  <c r="P34" i="8" s="1"/>
  <c r="S34" i="8" s="1"/>
  <c r="S21" i="20"/>
  <c r="Q20" i="20"/>
  <c r="N75" i="20"/>
  <c r="C33" i="20"/>
  <c r="D32" i="20"/>
  <c r="S61" i="20"/>
  <c r="Q60" i="20"/>
  <c r="S21" i="19"/>
  <c r="Q20" i="19"/>
  <c r="S61" i="19"/>
  <c r="C77" i="19" s="1"/>
  <c r="Q60" i="19"/>
  <c r="M75" i="19"/>
  <c r="C33" i="19"/>
  <c r="D32" i="19"/>
  <c r="S21" i="18"/>
  <c r="C35" i="18" s="1"/>
  <c r="Q20" i="18"/>
  <c r="S61" i="18"/>
  <c r="Q60" i="18"/>
  <c r="S21" i="17"/>
  <c r="Q20" i="17"/>
  <c r="D32" i="17"/>
  <c r="S61" i="17"/>
  <c r="Q60" i="17"/>
  <c r="C33" i="16"/>
  <c r="S61" i="16"/>
  <c r="Q60" i="16"/>
  <c r="S21" i="16"/>
  <c r="C35" i="16" s="1"/>
  <c r="Q20" i="16"/>
  <c r="S61" i="15"/>
  <c r="Q60" i="15"/>
  <c r="S21" i="15"/>
  <c r="D33" i="15" s="1"/>
  <c r="Q20" i="15"/>
  <c r="S21" i="14"/>
  <c r="Q20" i="14"/>
  <c r="S61" i="14"/>
  <c r="Q60" i="14"/>
  <c r="S18" i="13"/>
  <c r="Q17" i="13"/>
  <c r="S61" i="13"/>
  <c r="Q60" i="13"/>
  <c r="S18" i="12"/>
  <c r="Q17" i="12"/>
  <c r="S61" i="12"/>
  <c r="C75" i="12" s="1"/>
  <c r="Q60" i="12"/>
  <c r="R74" i="12"/>
  <c r="C33" i="12"/>
  <c r="C32" i="12"/>
  <c r="C74" i="12"/>
  <c r="S18" i="11"/>
  <c r="D33" i="11" s="1"/>
  <c r="Q17" i="11"/>
  <c r="S61" i="11"/>
  <c r="Q60" i="11"/>
  <c r="S61" i="10"/>
  <c r="Q60" i="10"/>
  <c r="S18" i="10"/>
  <c r="Q17" i="10"/>
  <c r="G75" i="10"/>
  <c r="H75" i="10" s="1"/>
  <c r="K75" i="10" s="1"/>
  <c r="L75" i="10" s="1"/>
  <c r="S18" i="9"/>
  <c r="Q17" i="9"/>
  <c r="S61" i="9"/>
  <c r="Q60" i="9"/>
  <c r="B86" i="9"/>
  <c r="F86" i="9" s="1"/>
  <c r="G75" i="9"/>
  <c r="H75" i="9" s="1"/>
  <c r="K75" i="9" s="1"/>
  <c r="L75" i="9" s="1"/>
  <c r="S61" i="8"/>
  <c r="Q60" i="8"/>
  <c r="S17" i="8"/>
  <c r="Q16" i="8"/>
  <c r="B86" i="8"/>
  <c r="F86" i="8" s="1"/>
  <c r="S18" i="7"/>
  <c r="C36" i="7" s="1"/>
  <c r="Q17" i="7"/>
  <c r="S61" i="7"/>
  <c r="C76" i="7" s="1"/>
  <c r="Q60" i="7"/>
  <c r="G34" i="7"/>
  <c r="H34" i="7" s="1"/>
  <c r="K34" i="7" s="1"/>
  <c r="L34" i="7" s="1"/>
  <c r="S61" i="6"/>
  <c r="S18" i="6"/>
  <c r="Q17" i="6"/>
  <c r="S18" i="5"/>
  <c r="Q17" i="5"/>
  <c r="S61" i="5"/>
  <c r="Q60" i="5"/>
  <c r="G74" i="5"/>
  <c r="H74" i="5" s="1"/>
  <c r="K74" i="5" s="1"/>
  <c r="L74" i="5" s="1"/>
  <c r="S18" i="4"/>
  <c r="Q17" i="4"/>
  <c r="S61" i="4"/>
  <c r="Q60" i="4"/>
  <c r="G34" i="4"/>
  <c r="H34" i="4" s="1"/>
  <c r="K34" i="4" s="1"/>
  <c r="L34" i="4" s="1"/>
  <c r="R33" i="3"/>
  <c r="M73" i="3"/>
  <c r="N73" i="3" s="1"/>
  <c r="P73" i="3" s="1"/>
  <c r="S73" i="3" s="1"/>
  <c r="S18" i="3"/>
  <c r="Q17" i="3"/>
  <c r="S61" i="3"/>
  <c r="Q60" i="3"/>
  <c r="R33" i="2"/>
  <c r="S17" i="2"/>
  <c r="Q16" i="2"/>
  <c r="S61" i="2"/>
  <c r="Q60" i="2"/>
  <c r="N34" i="2"/>
  <c r="P34" i="2" s="1"/>
  <c r="S34" i="2" s="1"/>
  <c r="Q15" i="1"/>
  <c r="S16" i="1"/>
  <c r="M73" i="1"/>
  <c r="N73" i="1" s="1"/>
  <c r="P73" i="1" s="1"/>
  <c r="S73" i="1" s="1"/>
  <c r="G35" i="1"/>
  <c r="H35" i="1" s="1"/>
  <c r="K35" i="1" s="1"/>
  <c r="S61" i="1"/>
  <c r="Q60" i="1"/>
  <c r="R34" i="1" l="1"/>
  <c r="S34" i="1"/>
  <c r="C35" i="3"/>
  <c r="C75" i="11"/>
  <c r="D74" i="11"/>
  <c r="D74" i="13"/>
  <c r="C75" i="13"/>
  <c r="N73" i="16"/>
  <c r="N74" i="16"/>
  <c r="C35" i="17"/>
  <c r="D34" i="17"/>
  <c r="S73" i="18"/>
  <c r="R73" i="18"/>
  <c r="N74" i="18"/>
  <c r="P74" i="18" s="1"/>
  <c r="M73" i="19"/>
  <c r="N75" i="19"/>
  <c r="N74" i="19"/>
  <c r="L73" i="19"/>
  <c r="S73" i="20"/>
  <c r="R73" i="20"/>
  <c r="N74" i="20"/>
  <c r="N74" i="7"/>
  <c r="P74" i="7" s="1"/>
  <c r="S74" i="7" s="1"/>
  <c r="R34" i="8"/>
  <c r="S60" i="20"/>
  <c r="Q59" i="20"/>
  <c r="G32" i="20"/>
  <c r="H32" i="20" s="1"/>
  <c r="K32" i="20" s="1"/>
  <c r="L32" i="20" s="1"/>
  <c r="C34" i="20"/>
  <c r="D33" i="20"/>
  <c r="S20" i="20"/>
  <c r="Q19" i="20"/>
  <c r="G32" i="19"/>
  <c r="H32" i="19" s="1"/>
  <c r="K32" i="19" s="1"/>
  <c r="L32" i="19" s="1"/>
  <c r="S60" i="19"/>
  <c r="D77" i="19" s="1"/>
  <c r="Q59" i="19"/>
  <c r="S20" i="19"/>
  <c r="C36" i="19" s="1"/>
  <c r="Q19" i="19"/>
  <c r="G76" i="19"/>
  <c r="H76" i="19" s="1"/>
  <c r="K76" i="19" s="1"/>
  <c r="L76" i="19" s="1"/>
  <c r="C35" i="19"/>
  <c r="C34" i="19"/>
  <c r="D33" i="19"/>
  <c r="S60" i="18"/>
  <c r="Q59" i="18"/>
  <c r="S20" i="18"/>
  <c r="D35" i="18" s="1"/>
  <c r="Q19" i="18"/>
  <c r="G75" i="18"/>
  <c r="H75" i="18" s="1"/>
  <c r="K75" i="18" s="1"/>
  <c r="L75" i="18" s="1"/>
  <c r="C34" i="18"/>
  <c r="D32" i="18"/>
  <c r="G75" i="17"/>
  <c r="H75" i="17" s="1"/>
  <c r="K75" i="17" s="1"/>
  <c r="L75" i="17" s="1"/>
  <c r="S60" i="17"/>
  <c r="Q59" i="17"/>
  <c r="G32" i="17"/>
  <c r="H32" i="17" s="1"/>
  <c r="K32" i="17" s="1"/>
  <c r="S20" i="17"/>
  <c r="D35" i="17" s="1"/>
  <c r="Q19" i="17"/>
  <c r="S20" i="16"/>
  <c r="D35" i="16" s="1"/>
  <c r="Q19" i="16"/>
  <c r="S60" i="16"/>
  <c r="Q59" i="16"/>
  <c r="C34" i="16"/>
  <c r="D33" i="16"/>
  <c r="G75" i="16"/>
  <c r="H75" i="16" s="1"/>
  <c r="K75" i="16" s="1"/>
  <c r="L75" i="16" s="1"/>
  <c r="S20" i="15"/>
  <c r="Q19" i="15"/>
  <c r="S60" i="15"/>
  <c r="Q59" i="15"/>
  <c r="C34" i="15"/>
  <c r="D32" i="15"/>
  <c r="C33" i="14"/>
  <c r="S60" i="14"/>
  <c r="Q59" i="14"/>
  <c r="S20" i="14"/>
  <c r="Q19" i="14"/>
  <c r="D73" i="13"/>
  <c r="G73" i="13" s="1"/>
  <c r="H73" i="13" s="1"/>
  <c r="C34" i="13"/>
  <c r="S60" i="13"/>
  <c r="D75" i="13" s="1"/>
  <c r="Q59" i="13"/>
  <c r="S17" i="13"/>
  <c r="Q16" i="13"/>
  <c r="S60" i="12"/>
  <c r="D75" i="12" s="1"/>
  <c r="Q59" i="12"/>
  <c r="S17" i="12"/>
  <c r="Q16" i="12"/>
  <c r="D74" i="12"/>
  <c r="G74" i="12" s="1"/>
  <c r="H74" i="12" s="1"/>
  <c r="G73" i="12"/>
  <c r="H73" i="12" s="1"/>
  <c r="C34" i="12"/>
  <c r="D32" i="12"/>
  <c r="D33" i="12"/>
  <c r="S60" i="11"/>
  <c r="D75" i="11" s="1"/>
  <c r="Q59" i="11"/>
  <c r="S17" i="11"/>
  <c r="Q16" i="11"/>
  <c r="G73" i="11"/>
  <c r="H73" i="11" s="1"/>
  <c r="C34" i="11"/>
  <c r="D32" i="11"/>
  <c r="M75" i="10"/>
  <c r="N75" i="10" s="1"/>
  <c r="P75" i="10" s="1"/>
  <c r="S75" i="10" s="1"/>
  <c r="S17" i="10"/>
  <c r="Q16" i="10"/>
  <c r="S60" i="10"/>
  <c r="Q59" i="10"/>
  <c r="G35" i="10"/>
  <c r="H35" i="10" s="1"/>
  <c r="K35" i="10" s="1"/>
  <c r="L35" i="10" s="1"/>
  <c r="S60" i="9"/>
  <c r="Q59" i="9"/>
  <c r="S17" i="9"/>
  <c r="Q16" i="9"/>
  <c r="M75" i="9"/>
  <c r="N75" i="9" s="1"/>
  <c r="P75" i="9" s="1"/>
  <c r="S75" i="9" s="1"/>
  <c r="G35" i="9"/>
  <c r="H35" i="9" s="1"/>
  <c r="K35" i="9" s="1"/>
  <c r="L35" i="9" s="1"/>
  <c r="S16" i="8"/>
  <c r="Q15" i="8"/>
  <c r="S60" i="8"/>
  <c r="Q59" i="8"/>
  <c r="G35" i="8"/>
  <c r="H35" i="8" s="1"/>
  <c r="K35" i="8" s="1"/>
  <c r="L35" i="8" s="1"/>
  <c r="G75" i="8"/>
  <c r="H75" i="8" s="1"/>
  <c r="K75" i="8" s="1"/>
  <c r="L75" i="8" s="1"/>
  <c r="S60" i="7"/>
  <c r="D76" i="7" s="1"/>
  <c r="Q59" i="7"/>
  <c r="S17" i="7"/>
  <c r="D36" i="7" s="1"/>
  <c r="Q16" i="7"/>
  <c r="M34" i="7"/>
  <c r="N34" i="7" s="1"/>
  <c r="P34" i="7" s="1"/>
  <c r="S34" i="7" s="1"/>
  <c r="M34" i="6"/>
  <c r="S17" i="6"/>
  <c r="Q16" i="6"/>
  <c r="S60" i="6"/>
  <c r="Q59" i="6"/>
  <c r="M74" i="6"/>
  <c r="N74" i="6" s="1"/>
  <c r="P74" i="6" s="1"/>
  <c r="S74" i="6" s="1"/>
  <c r="M73" i="5"/>
  <c r="M74" i="5"/>
  <c r="N74" i="5" s="1"/>
  <c r="S60" i="5"/>
  <c r="Q59" i="5"/>
  <c r="S17" i="5"/>
  <c r="Q16" i="5"/>
  <c r="M74" i="4"/>
  <c r="S60" i="4"/>
  <c r="Q59" i="4"/>
  <c r="S17" i="4"/>
  <c r="Q16" i="4"/>
  <c r="M34" i="4"/>
  <c r="N34" i="4" s="1"/>
  <c r="P34" i="4" s="1"/>
  <c r="S34" i="4" s="1"/>
  <c r="M73" i="4"/>
  <c r="N73" i="4" s="1"/>
  <c r="P73" i="4" s="1"/>
  <c r="S73" i="4" s="1"/>
  <c r="B85" i="3"/>
  <c r="F85" i="3" s="1"/>
  <c r="R73" i="3"/>
  <c r="G74" i="3"/>
  <c r="H74" i="3" s="1"/>
  <c r="K74" i="3" s="1"/>
  <c r="L74" i="3" s="1"/>
  <c r="S60" i="3"/>
  <c r="Q59" i="3"/>
  <c r="S17" i="3"/>
  <c r="D35" i="3" s="1"/>
  <c r="Q16" i="3"/>
  <c r="R34" i="2"/>
  <c r="M73" i="2"/>
  <c r="N73" i="2" s="1"/>
  <c r="P73" i="2" s="1"/>
  <c r="S73" i="2" s="1"/>
  <c r="S60" i="2"/>
  <c r="Q59" i="2"/>
  <c r="S16" i="2"/>
  <c r="Q15" i="2"/>
  <c r="P35" i="2"/>
  <c r="S35" i="2" s="1"/>
  <c r="R73" i="1"/>
  <c r="B85" i="1"/>
  <c r="F85" i="1" s="1"/>
  <c r="G74" i="1"/>
  <c r="H74" i="1" s="1"/>
  <c r="K74" i="1" s="1"/>
  <c r="L74" i="1" s="1"/>
  <c r="M35" i="1"/>
  <c r="G36" i="1"/>
  <c r="H36" i="1" s="1"/>
  <c r="K36" i="1" s="1"/>
  <c r="S60" i="1"/>
  <c r="Q59" i="1"/>
  <c r="L35" i="1"/>
  <c r="S15" i="1"/>
  <c r="Q14" i="1"/>
  <c r="G35" i="3" l="1"/>
  <c r="H35" i="3" s="1"/>
  <c r="K35" i="3" s="1"/>
  <c r="L35" i="3"/>
  <c r="G34" i="3"/>
  <c r="H34" i="3" s="1"/>
  <c r="K34" i="3" s="1"/>
  <c r="L34" i="3" s="1"/>
  <c r="C37" i="8"/>
  <c r="C77" i="9"/>
  <c r="C76" i="14"/>
  <c r="P73" i="16"/>
  <c r="S74" i="18"/>
  <c r="R74" i="18"/>
  <c r="C77" i="18"/>
  <c r="N73" i="19"/>
  <c r="P75" i="20"/>
  <c r="S74" i="20"/>
  <c r="R74" i="20"/>
  <c r="N35" i="1"/>
  <c r="N74" i="4"/>
  <c r="P74" i="4" s="1"/>
  <c r="S74" i="4" s="1"/>
  <c r="N73" i="5"/>
  <c r="N34" i="6"/>
  <c r="P34" i="6" s="1"/>
  <c r="S34" i="6" s="1"/>
  <c r="S19" i="20"/>
  <c r="C36" i="20" s="1"/>
  <c r="Q18" i="20"/>
  <c r="G33" i="20"/>
  <c r="H33" i="20" s="1"/>
  <c r="K33" i="20" s="1"/>
  <c r="L33" i="20"/>
  <c r="S59" i="20"/>
  <c r="Q58" i="20"/>
  <c r="D34" i="20"/>
  <c r="M32" i="20"/>
  <c r="N32" i="20" s="1"/>
  <c r="P32" i="20" s="1"/>
  <c r="S32" i="20" s="1"/>
  <c r="G76" i="20"/>
  <c r="H76" i="20" s="1"/>
  <c r="K76" i="20" s="1"/>
  <c r="L76" i="20" s="1"/>
  <c r="M76" i="19"/>
  <c r="S19" i="19"/>
  <c r="D36" i="19" s="1"/>
  <c r="Q18" i="19"/>
  <c r="S59" i="19"/>
  <c r="Q58" i="19"/>
  <c r="M32" i="19"/>
  <c r="G33" i="19"/>
  <c r="H33" i="19" s="1"/>
  <c r="K33" i="19" s="1"/>
  <c r="L33" i="19"/>
  <c r="N76" i="19"/>
  <c r="D34" i="19"/>
  <c r="D35" i="19"/>
  <c r="N32" i="19"/>
  <c r="P32" i="19" s="1"/>
  <c r="S32" i="19" s="1"/>
  <c r="G32" i="18"/>
  <c r="H32" i="18" s="1"/>
  <c r="K32" i="18" s="1"/>
  <c r="L32" i="18" s="1"/>
  <c r="M75" i="18"/>
  <c r="N75" i="18" s="1"/>
  <c r="S19" i="18"/>
  <c r="Q18" i="18"/>
  <c r="S59" i="18"/>
  <c r="D77" i="18" s="1"/>
  <c r="Q58" i="18"/>
  <c r="D34" i="18"/>
  <c r="M32" i="17"/>
  <c r="S19" i="17"/>
  <c r="C36" i="17" s="1"/>
  <c r="Q18" i="17"/>
  <c r="L32" i="17"/>
  <c r="N32" i="17" s="1"/>
  <c r="S59" i="17"/>
  <c r="Q58" i="17"/>
  <c r="G33" i="17"/>
  <c r="H33" i="17" s="1"/>
  <c r="K33" i="17" s="1"/>
  <c r="L33" i="17" s="1"/>
  <c r="M75" i="17"/>
  <c r="N75" i="17" s="1"/>
  <c r="P75" i="17" s="1"/>
  <c r="S75" i="17" s="1"/>
  <c r="S59" i="16"/>
  <c r="Q58" i="16"/>
  <c r="S19" i="16"/>
  <c r="Q18" i="16"/>
  <c r="M75" i="16"/>
  <c r="N75" i="16" s="1"/>
  <c r="G33" i="16"/>
  <c r="H33" i="16" s="1"/>
  <c r="K33" i="16" s="1"/>
  <c r="G32" i="16"/>
  <c r="H32" i="16" s="1"/>
  <c r="K32" i="16" s="1"/>
  <c r="L32" i="16" s="1"/>
  <c r="D34" i="16"/>
  <c r="S59" i="15"/>
  <c r="Q58" i="15"/>
  <c r="S19" i="15"/>
  <c r="Q18" i="15"/>
  <c r="G32" i="15"/>
  <c r="H32" i="15" s="1"/>
  <c r="K32" i="15" s="1"/>
  <c r="L32" i="15" s="1"/>
  <c r="G75" i="15"/>
  <c r="H75" i="15" s="1"/>
  <c r="K75" i="15" s="1"/>
  <c r="L75" i="15" s="1"/>
  <c r="D34" i="15"/>
  <c r="D33" i="14"/>
  <c r="S19" i="14"/>
  <c r="Q18" i="14"/>
  <c r="S59" i="14"/>
  <c r="D76" i="14" s="1"/>
  <c r="Q58" i="14"/>
  <c r="S59" i="13"/>
  <c r="Q58" i="13"/>
  <c r="C35" i="13"/>
  <c r="D34" i="13"/>
  <c r="G74" i="13"/>
  <c r="H74" i="13" s="1"/>
  <c r="S16" i="13"/>
  <c r="D35" i="13" s="1"/>
  <c r="Q15" i="13"/>
  <c r="G32" i="13"/>
  <c r="H32" i="13" s="1"/>
  <c r="K32" i="13" s="1"/>
  <c r="L32" i="13" s="1"/>
  <c r="G33" i="12"/>
  <c r="H33" i="12" s="1"/>
  <c r="K33" i="12" s="1"/>
  <c r="L33" i="12" s="1"/>
  <c r="S16" i="12"/>
  <c r="Q15" i="12"/>
  <c r="S59" i="12"/>
  <c r="C76" i="12" s="1"/>
  <c r="Q58" i="12"/>
  <c r="G32" i="12"/>
  <c r="H32" i="12" s="1"/>
  <c r="K32" i="12" s="1"/>
  <c r="L32" i="12" s="1"/>
  <c r="D34" i="12"/>
  <c r="G32" i="11"/>
  <c r="H32" i="11" s="1"/>
  <c r="K32" i="11" s="1"/>
  <c r="L32" i="11" s="1"/>
  <c r="S16" i="11"/>
  <c r="Q15" i="11"/>
  <c r="S59" i="11"/>
  <c r="Q58" i="11"/>
  <c r="D34" i="11"/>
  <c r="G74" i="11"/>
  <c r="H74" i="11" s="1"/>
  <c r="M34" i="10"/>
  <c r="R75" i="10"/>
  <c r="G76" i="10"/>
  <c r="H76" i="10" s="1"/>
  <c r="K76" i="10" s="1"/>
  <c r="L76" i="10" s="1"/>
  <c r="M35" i="10"/>
  <c r="N35" i="10" s="1"/>
  <c r="S59" i="10"/>
  <c r="Q58" i="10"/>
  <c r="S16" i="10"/>
  <c r="Q15" i="10"/>
  <c r="R75" i="9"/>
  <c r="M35" i="9"/>
  <c r="N35" i="9" s="1"/>
  <c r="M34" i="9"/>
  <c r="N34" i="9" s="1"/>
  <c r="S16" i="9"/>
  <c r="Q15" i="9"/>
  <c r="S59" i="9"/>
  <c r="D77" i="9" s="1"/>
  <c r="Q58" i="9"/>
  <c r="M75" i="8"/>
  <c r="N75" i="8" s="1"/>
  <c r="P75" i="8" s="1"/>
  <c r="S75" i="8" s="1"/>
  <c r="M35" i="8"/>
  <c r="N35" i="8" s="1"/>
  <c r="P35" i="8" s="1"/>
  <c r="S35" i="8" s="1"/>
  <c r="S59" i="8"/>
  <c r="Q58" i="8"/>
  <c r="S15" i="8"/>
  <c r="D37" i="8" s="1"/>
  <c r="Q14" i="8"/>
  <c r="R34" i="7"/>
  <c r="B86" i="7"/>
  <c r="F86" i="7" s="1"/>
  <c r="R74" i="7"/>
  <c r="G35" i="7"/>
  <c r="H35" i="7" s="1"/>
  <c r="K35" i="7" s="1"/>
  <c r="L35" i="7" s="1"/>
  <c r="G75" i="7"/>
  <c r="H75" i="7" s="1"/>
  <c r="K75" i="7" s="1"/>
  <c r="L75" i="7" s="1"/>
  <c r="S16" i="7"/>
  <c r="C37" i="7" s="1"/>
  <c r="Q15" i="7"/>
  <c r="S59" i="7"/>
  <c r="C77" i="7" s="1"/>
  <c r="Q58" i="7"/>
  <c r="B86" i="6"/>
  <c r="F86" i="6" s="1"/>
  <c r="R74" i="6"/>
  <c r="S59" i="6"/>
  <c r="Q58" i="6"/>
  <c r="S16" i="6"/>
  <c r="Q15" i="6"/>
  <c r="G75" i="6"/>
  <c r="H75" i="6" s="1"/>
  <c r="K75" i="6" s="1"/>
  <c r="L75" i="6" s="1"/>
  <c r="G35" i="6"/>
  <c r="H35" i="6" s="1"/>
  <c r="K35" i="6" s="1"/>
  <c r="L35" i="6" s="1"/>
  <c r="G35" i="5"/>
  <c r="H35" i="5" s="1"/>
  <c r="K35" i="5" s="1"/>
  <c r="L35" i="5" s="1"/>
  <c r="S16" i="5"/>
  <c r="Q15" i="5"/>
  <c r="S59" i="5"/>
  <c r="Q58" i="5"/>
  <c r="G34" i="5"/>
  <c r="H34" i="5" s="1"/>
  <c r="K34" i="5" s="1"/>
  <c r="L34" i="5" s="1"/>
  <c r="B85" i="4"/>
  <c r="F85" i="4" s="1"/>
  <c r="R73" i="4"/>
  <c r="R34" i="4"/>
  <c r="S16" i="4"/>
  <c r="Q15" i="4"/>
  <c r="S59" i="4"/>
  <c r="Q58" i="4"/>
  <c r="S16" i="3"/>
  <c r="Q15" i="3"/>
  <c r="M74" i="3"/>
  <c r="N74" i="3" s="1"/>
  <c r="P74" i="3" s="1"/>
  <c r="S74" i="3" s="1"/>
  <c r="S59" i="3"/>
  <c r="Q58" i="3"/>
  <c r="R73" i="2"/>
  <c r="B85" i="2"/>
  <c r="F85" i="2" s="1"/>
  <c r="R35" i="2"/>
  <c r="S15" i="2"/>
  <c r="G36" i="2" s="1"/>
  <c r="H36" i="2" s="1"/>
  <c r="K36" i="2" s="1"/>
  <c r="Q14" i="2"/>
  <c r="S59" i="2"/>
  <c r="Q58" i="2"/>
  <c r="S14" i="1"/>
  <c r="Q13" i="1"/>
  <c r="S13" i="1" s="1"/>
  <c r="S59" i="1"/>
  <c r="Q58" i="1"/>
  <c r="M36" i="1"/>
  <c r="L36" i="1"/>
  <c r="M74" i="1"/>
  <c r="N74" i="1" s="1"/>
  <c r="R35" i="1" l="1"/>
  <c r="S35" i="1"/>
  <c r="L36" i="2"/>
  <c r="M36" i="2"/>
  <c r="N35" i="3"/>
  <c r="M34" i="3"/>
  <c r="N34" i="3" s="1"/>
  <c r="M35" i="3"/>
  <c r="S73" i="16"/>
  <c r="R73" i="16"/>
  <c r="P74" i="16"/>
  <c r="P73" i="19"/>
  <c r="S75" i="20"/>
  <c r="R75" i="20"/>
  <c r="P73" i="5"/>
  <c r="S73" i="5" s="1"/>
  <c r="N34" i="10"/>
  <c r="P34" i="10" s="1"/>
  <c r="S34" i="10" s="1"/>
  <c r="P75" i="18"/>
  <c r="S75" i="18" s="1"/>
  <c r="M33" i="20"/>
  <c r="N33" i="20" s="1"/>
  <c r="P33" i="20" s="1"/>
  <c r="S33" i="20" s="1"/>
  <c r="G35" i="20"/>
  <c r="H35" i="20" s="1"/>
  <c r="K35" i="20" s="1"/>
  <c r="L35" i="20" s="1"/>
  <c r="M76" i="20"/>
  <c r="N76" i="20" s="1"/>
  <c r="P76" i="20" s="1"/>
  <c r="S76" i="20" s="1"/>
  <c r="R32" i="20"/>
  <c r="B85" i="20"/>
  <c r="F85" i="20" s="1"/>
  <c r="G34" i="20"/>
  <c r="H34" i="20" s="1"/>
  <c r="K34" i="20" s="1"/>
  <c r="L34" i="20" s="1"/>
  <c r="S58" i="20"/>
  <c r="Q57" i="20"/>
  <c r="S18" i="20"/>
  <c r="D36" i="20" s="1"/>
  <c r="Q17" i="20"/>
  <c r="R32" i="19"/>
  <c r="G34" i="19"/>
  <c r="H34" i="19" s="1"/>
  <c r="K34" i="19" s="1"/>
  <c r="L34" i="19" s="1"/>
  <c r="S58" i="19"/>
  <c r="Q57" i="19"/>
  <c r="S18" i="19"/>
  <c r="Q17" i="19"/>
  <c r="G35" i="19"/>
  <c r="H35" i="19" s="1"/>
  <c r="K35" i="19" s="1"/>
  <c r="L35" i="19" s="1"/>
  <c r="M33" i="19"/>
  <c r="N33" i="19" s="1"/>
  <c r="P33" i="19" s="1"/>
  <c r="S33" i="19" s="1"/>
  <c r="G77" i="19"/>
  <c r="H77" i="19" s="1"/>
  <c r="K77" i="19" s="1"/>
  <c r="L77" i="19" s="1"/>
  <c r="G33" i="18"/>
  <c r="H33" i="18" s="1"/>
  <c r="K33" i="18" s="1"/>
  <c r="L33" i="18" s="1"/>
  <c r="G34" i="18"/>
  <c r="H34" i="18" s="1"/>
  <c r="K34" i="18" s="1"/>
  <c r="L34" i="18" s="1"/>
  <c r="S58" i="18"/>
  <c r="Q57" i="18"/>
  <c r="S18" i="18"/>
  <c r="Q17" i="18"/>
  <c r="M32" i="18"/>
  <c r="N32" i="18" s="1"/>
  <c r="P32" i="18" s="1"/>
  <c r="S32" i="18" s="1"/>
  <c r="G76" i="18"/>
  <c r="H76" i="18" s="1"/>
  <c r="K76" i="18" s="1"/>
  <c r="L76" i="18" s="1"/>
  <c r="R75" i="17"/>
  <c r="G76" i="17"/>
  <c r="H76" i="17" s="1"/>
  <c r="K76" i="17" s="1"/>
  <c r="L76" i="17" s="1"/>
  <c r="S18" i="17"/>
  <c r="D36" i="17" s="1"/>
  <c r="Q17" i="17"/>
  <c r="G34" i="17"/>
  <c r="H34" i="17" s="1"/>
  <c r="K34" i="17" s="1"/>
  <c r="L34" i="17" s="1"/>
  <c r="M33" i="17"/>
  <c r="N33" i="17" s="1"/>
  <c r="S58" i="17"/>
  <c r="Q57" i="17"/>
  <c r="G35" i="17"/>
  <c r="H35" i="17" s="1"/>
  <c r="K35" i="17" s="1"/>
  <c r="L35" i="17" s="1"/>
  <c r="P32" i="17"/>
  <c r="S32" i="17" s="1"/>
  <c r="G34" i="16"/>
  <c r="H34" i="16" s="1"/>
  <c r="K34" i="16" s="1"/>
  <c r="L34" i="16" s="1"/>
  <c r="M33" i="16"/>
  <c r="G35" i="16"/>
  <c r="H35" i="16" s="1"/>
  <c r="K35" i="16" s="1"/>
  <c r="L35" i="16" s="1"/>
  <c r="G76" i="16"/>
  <c r="H76" i="16" s="1"/>
  <c r="K76" i="16" s="1"/>
  <c r="L76" i="16" s="1"/>
  <c r="M32" i="16"/>
  <c r="N32" i="16" s="1"/>
  <c r="P32" i="16" s="1"/>
  <c r="S32" i="16" s="1"/>
  <c r="L33" i="16"/>
  <c r="N33" i="16" s="1"/>
  <c r="S18" i="16"/>
  <c r="Q17" i="16"/>
  <c r="S58" i="16"/>
  <c r="Q57" i="16"/>
  <c r="G34" i="15"/>
  <c r="H34" i="15" s="1"/>
  <c r="K34" i="15" s="1"/>
  <c r="L34" i="15" s="1"/>
  <c r="M75" i="15"/>
  <c r="N75" i="15" s="1"/>
  <c r="P75" i="15" s="1"/>
  <c r="S75" i="15" s="1"/>
  <c r="S18" i="15"/>
  <c r="Q17" i="15"/>
  <c r="S58" i="15"/>
  <c r="Q57" i="15"/>
  <c r="G33" i="15"/>
  <c r="H33" i="15" s="1"/>
  <c r="K33" i="15" s="1"/>
  <c r="M32" i="15"/>
  <c r="N32" i="15" s="1"/>
  <c r="P32" i="15" s="1"/>
  <c r="S32" i="15" s="1"/>
  <c r="G32" i="14"/>
  <c r="H32" i="14" s="1"/>
  <c r="K32" i="14" s="1"/>
  <c r="L32" i="14" s="1"/>
  <c r="S58" i="14"/>
  <c r="Q57" i="14"/>
  <c r="S18" i="14"/>
  <c r="Q17" i="14"/>
  <c r="G33" i="14"/>
  <c r="H33" i="14" s="1"/>
  <c r="K33" i="14" s="1"/>
  <c r="G75" i="14"/>
  <c r="H75" i="14" s="1"/>
  <c r="K75" i="14" s="1"/>
  <c r="L75" i="14" s="1"/>
  <c r="S15" i="13"/>
  <c r="Q14" i="13"/>
  <c r="G35" i="13"/>
  <c r="H35" i="13" s="1"/>
  <c r="K35" i="13" s="1"/>
  <c r="L35" i="13" s="1"/>
  <c r="G34" i="13"/>
  <c r="H34" i="13" s="1"/>
  <c r="K34" i="13" s="1"/>
  <c r="L34" i="13" s="1"/>
  <c r="S58" i="13"/>
  <c r="Q57" i="13"/>
  <c r="M32" i="13"/>
  <c r="N32" i="13" s="1"/>
  <c r="P32" i="13" s="1"/>
  <c r="S32" i="13" s="1"/>
  <c r="G33" i="13"/>
  <c r="H33" i="13" s="1"/>
  <c r="K33" i="13" s="1"/>
  <c r="L33" i="13" s="1"/>
  <c r="G75" i="13"/>
  <c r="H75" i="13" s="1"/>
  <c r="K75" i="13" s="1"/>
  <c r="L75" i="13" s="1"/>
  <c r="G34" i="12"/>
  <c r="H34" i="12" s="1"/>
  <c r="K34" i="12" s="1"/>
  <c r="M32" i="12"/>
  <c r="S58" i="12"/>
  <c r="D76" i="12" s="1"/>
  <c r="G76" i="12" s="1"/>
  <c r="H76" i="12" s="1"/>
  <c r="K76" i="12" s="1"/>
  <c r="L76" i="12" s="1"/>
  <c r="Q57" i="12"/>
  <c r="S15" i="12"/>
  <c r="Q14" i="12"/>
  <c r="N32" i="12"/>
  <c r="P32" i="12" s="1"/>
  <c r="S32" i="12" s="1"/>
  <c r="G75" i="12"/>
  <c r="H75" i="12" s="1"/>
  <c r="K75" i="12" s="1"/>
  <c r="G35" i="12"/>
  <c r="H35" i="12" s="1"/>
  <c r="K35" i="12" s="1"/>
  <c r="M33" i="12"/>
  <c r="N33" i="12" s="1"/>
  <c r="G75" i="11"/>
  <c r="H75" i="11" s="1"/>
  <c r="K75" i="11" s="1"/>
  <c r="L75" i="11" s="1"/>
  <c r="G35" i="11"/>
  <c r="H35" i="11" s="1"/>
  <c r="K35" i="11" s="1"/>
  <c r="L35" i="11" s="1"/>
  <c r="G34" i="11"/>
  <c r="H34" i="11" s="1"/>
  <c r="K34" i="11" s="1"/>
  <c r="L34" i="11" s="1"/>
  <c r="S58" i="11"/>
  <c r="G76" i="11" s="1"/>
  <c r="H76" i="11" s="1"/>
  <c r="K76" i="11" s="1"/>
  <c r="L76" i="11" s="1"/>
  <c r="Q57" i="11"/>
  <c r="S15" i="11"/>
  <c r="Q14" i="11"/>
  <c r="M32" i="11"/>
  <c r="G33" i="11"/>
  <c r="H33" i="11" s="1"/>
  <c r="K33" i="11" s="1"/>
  <c r="L33" i="11" s="1"/>
  <c r="N32" i="11"/>
  <c r="P32" i="11" s="1"/>
  <c r="S32" i="11" s="1"/>
  <c r="S15" i="10"/>
  <c r="Q14" i="10"/>
  <c r="S58" i="10"/>
  <c r="Q57" i="10"/>
  <c r="M76" i="10"/>
  <c r="N76" i="10" s="1"/>
  <c r="P76" i="10" s="1"/>
  <c r="S76" i="10" s="1"/>
  <c r="P34" i="9"/>
  <c r="S34" i="9" s="1"/>
  <c r="S58" i="9"/>
  <c r="Q57" i="9"/>
  <c r="S15" i="9"/>
  <c r="Q14" i="9"/>
  <c r="G76" i="9"/>
  <c r="H76" i="9" s="1"/>
  <c r="K76" i="9" s="1"/>
  <c r="B87" i="8"/>
  <c r="F87" i="8" s="1"/>
  <c r="R75" i="8"/>
  <c r="R35" i="8"/>
  <c r="G76" i="8"/>
  <c r="H76" i="8" s="1"/>
  <c r="K76" i="8" s="1"/>
  <c r="L76" i="8" s="1"/>
  <c r="S14" i="8"/>
  <c r="Q13" i="8"/>
  <c r="S13" i="8" s="1"/>
  <c r="S58" i="8"/>
  <c r="Q57" i="8"/>
  <c r="S58" i="7"/>
  <c r="Q57" i="7"/>
  <c r="S15" i="7"/>
  <c r="D37" i="7" s="1"/>
  <c r="Q14" i="7"/>
  <c r="N75" i="7"/>
  <c r="P75" i="7" s="1"/>
  <c r="S75" i="7" s="1"/>
  <c r="M35" i="7"/>
  <c r="N35" i="7" s="1"/>
  <c r="P35" i="7" s="1"/>
  <c r="S35" i="7" s="1"/>
  <c r="R34" i="6"/>
  <c r="M35" i="6"/>
  <c r="N35" i="6" s="1"/>
  <c r="P35" i="6" s="1"/>
  <c r="S35" i="6" s="1"/>
  <c r="M75" i="6"/>
  <c r="N75" i="6" s="1"/>
  <c r="P75" i="6" s="1"/>
  <c r="S75" i="6" s="1"/>
  <c r="S15" i="6"/>
  <c r="Q14" i="6"/>
  <c r="S58" i="6"/>
  <c r="Q57" i="6"/>
  <c r="G75" i="5"/>
  <c r="H75" i="5" s="1"/>
  <c r="K75" i="5" s="1"/>
  <c r="L75" i="5" s="1"/>
  <c r="M34" i="5"/>
  <c r="N34" i="5" s="1"/>
  <c r="P34" i="5" s="1"/>
  <c r="S34" i="5" s="1"/>
  <c r="S58" i="5"/>
  <c r="Q57" i="5"/>
  <c r="S15" i="5"/>
  <c r="Q14" i="5"/>
  <c r="M35" i="5"/>
  <c r="N35" i="5" s="1"/>
  <c r="S58" i="4"/>
  <c r="Q57" i="4"/>
  <c r="S15" i="4"/>
  <c r="Q14" i="4"/>
  <c r="G75" i="4"/>
  <c r="H75" i="4" s="1"/>
  <c r="K75" i="4" s="1"/>
  <c r="L75" i="4" s="1"/>
  <c r="B86" i="4"/>
  <c r="F86" i="4" s="1"/>
  <c r="R74" i="4"/>
  <c r="B86" i="3"/>
  <c r="F86" i="3" s="1"/>
  <c r="R74" i="3"/>
  <c r="S58" i="3"/>
  <c r="Q57" i="3"/>
  <c r="S15" i="3"/>
  <c r="Q14" i="3"/>
  <c r="G75" i="2"/>
  <c r="H75" i="2" s="1"/>
  <c r="K75" i="2" s="1"/>
  <c r="L75" i="2" s="1"/>
  <c r="G74" i="2"/>
  <c r="H74" i="2" s="1"/>
  <c r="K74" i="2" s="1"/>
  <c r="L74" i="2" s="1"/>
  <c r="S58" i="2"/>
  <c r="Q57" i="2"/>
  <c r="S14" i="2"/>
  <c r="Q13" i="2"/>
  <c r="S74" i="1"/>
  <c r="S58" i="1"/>
  <c r="Q57" i="1"/>
  <c r="N36" i="1"/>
  <c r="G37" i="1"/>
  <c r="H37" i="1" s="1"/>
  <c r="K37" i="1" s="1"/>
  <c r="C78" i="7" l="1"/>
  <c r="D77" i="7"/>
  <c r="R36" i="1"/>
  <c r="S36" i="1"/>
  <c r="N36" i="2"/>
  <c r="P36" i="2" s="1"/>
  <c r="P34" i="3"/>
  <c r="P35" i="3" s="1"/>
  <c r="P74" i="5"/>
  <c r="S74" i="16"/>
  <c r="R74" i="16"/>
  <c r="P75" i="16"/>
  <c r="S73" i="19"/>
  <c r="B85" i="19" s="1"/>
  <c r="F85" i="19" s="1"/>
  <c r="R73" i="19"/>
  <c r="P74" i="19"/>
  <c r="R73" i="5"/>
  <c r="B85" i="5"/>
  <c r="F85" i="5" s="1"/>
  <c r="P35" i="10"/>
  <c r="B87" i="10"/>
  <c r="F87" i="10" s="1"/>
  <c r="R34" i="10"/>
  <c r="P33" i="12"/>
  <c r="P33" i="17"/>
  <c r="B86" i="20"/>
  <c r="F86" i="20" s="1"/>
  <c r="R33" i="20"/>
  <c r="S57" i="20"/>
  <c r="Q56" i="20"/>
  <c r="S17" i="20"/>
  <c r="Q16" i="20"/>
  <c r="G77" i="20"/>
  <c r="H77" i="20" s="1"/>
  <c r="K77" i="20" s="1"/>
  <c r="L77" i="20" s="1"/>
  <c r="M35" i="20"/>
  <c r="N35" i="20" s="1"/>
  <c r="M34" i="20"/>
  <c r="N34" i="20" s="1"/>
  <c r="R76" i="20"/>
  <c r="R33" i="19"/>
  <c r="M35" i="19"/>
  <c r="N35" i="19" s="1"/>
  <c r="M34" i="19"/>
  <c r="M77" i="19"/>
  <c r="N77" i="19" s="1"/>
  <c r="S17" i="19"/>
  <c r="C37" i="19" s="1"/>
  <c r="Q16" i="19"/>
  <c r="S57" i="19"/>
  <c r="Q56" i="19"/>
  <c r="N34" i="19"/>
  <c r="B85" i="18"/>
  <c r="F85" i="18" s="1"/>
  <c r="R32" i="18"/>
  <c r="S17" i="18"/>
  <c r="Q16" i="18"/>
  <c r="S57" i="18"/>
  <c r="Q56" i="18"/>
  <c r="M34" i="18"/>
  <c r="N34" i="18" s="1"/>
  <c r="M33" i="18"/>
  <c r="N33" i="18" s="1"/>
  <c r="M76" i="18"/>
  <c r="N76" i="18" s="1"/>
  <c r="P76" i="18" s="1"/>
  <c r="S76" i="18" s="1"/>
  <c r="R75" i="18"/>
  <c r="G35" i="18"/>
  <c r="H35" i="18" s="1"/>
  <c r="K35" i="18" s="1"/>
  <c r="L35" i="18" s="1"/>
  <c r="S57" i="17"/>
  <c r="Q56" i="17"/>
  <c r="B85" i="17"/>
  <c r="F85" i="17" s="1"/>
  <c r="R32" i="17"/>
  <c r="M34" i="17"/>
  <c r="M35" i="17"/>
  <c r="N35" i="17" s="1"/>
  <c r="N34" i="17"/>
  <c r="S17" i="17"/>
  <c r="Q16" i="17"/>
  <c r="M76" i="17"/>
  <c r="N76" i="17" s="1"/>
  <c r="P76" i="17" s="1"/>
  <c r="S76" i="17" s="1"/>
  <c r="R32" i="16"/>
  <c r="B85" i="16"/>
  <c r="F85" i="16" s="1"/>
  <c r="S57" i="16"/>
  <c r="Q56" i="16"/>
  <c r="S17" i="16"/>
  <c r="Q16" i="16"/>
  <c r="P33" i="16"/>
  <c r="S33" i="16" s="1"/>
  <c r="M76" i="16"/>
  <c r="N76" i="16" s="1"/>
  <c r="P76" i="16" s="1"/>
  <c r="S76" i="16" s="1"/>
  <c r="M35" i="16"/>
  <c r="N35" i="16" s="1"/>
  <c r="M34" i="16"/>
  <c r="N34" i="16" s="1"/>
  <c r="M33" i="15"/>
  <c r="L33" i="15"/>
  <c r="G76" i="15"/>
  <c r="H76" i="15" s="1"/>
  <c r="K76" i="15" s="1"/>
  <c r="L76" i="15" s="1"/>
  <c r="M34" i="15"/>
  <c r="N34" i="15" s="1"/>
  <c r="B85" i="15"/>
  <c r="F85" i="15" s="1"/>
  <c r="R32" i="15"/>
  <c r="S57" i="15"/>
  <c r="Q56" i="15"/>
  <c r="S17" i="15"/>
  <c r="Q16" i="15"/>
  <c r="R75" i="15"/>
  <c r="M33" i="14"/>
  <c r="M75" i="14"/>
  <c r="N75" i="14" s="1"/>
  <c r="P75" i="14" s="1"/>
  <c r="S75" i="14" s="1"/>
  <c r="L33" i="14"/>
  <c r="N33" i="14" s="1"/>
  <c r="S17" i="14"/>
  <c r="Q16" i="14"/>
  <c r="S57" i="14"/>
  <c r="Q56" i="14"/>
  <c r="M32" i="14"/>
  <c r="N32" i="14" s="1"/>
  <c r="P32" i="14" s="1"/>
  <c r="S32" i="14" s="1"/>
  <c r="G34" i="14"/>
  <c r="H34" i="14" s="1"/>
  <c r="K34" i="14" s="1"/>
  <c r="R32" i="13"/>
  <c r="B85" i="13"/>
  <c r="F85" i="13" s="1"/>
  <c r="S57" i="13"/>
  <c r="Q56" i="13"/>
  <c r="M33" i="13"/>
  <c r="N33" i="13" s="1"/>
  <c r="P33" i="13" s="1"/>
  <c r="S33" i="13" s="1"/>
  <c r="M34" i="13"/>
  <c r="N34" i="13" s="1"/>
  <c r="M75" i="13"/>
  <c r="N75" i="13" s="1"/>
  <c r="P75" i="13" s="1"/>
  <c r="S75" i="13" s="1"/>
  <c r="M35" i="13"/>
  <c r="N35" i="13" s="1"/>
  <c r="S14" i="13"/>
  <c r="Q13" i="13"/>
  <c r="R32" i="12"/>
  <c r="B85" i="12"/>
  <c r="F85" i="12" s="1"/>
  <c r="M35" i="12"/>
  <c r="M75" i="12"/>
  <c r="M34" i="12"/>
  <c r="L35" i="12"/>
  <c r="L75" i="12"/>
  <c r="M76" i="12"/>
  <c r="N76" i="12" s="1"/>
  <c r="S14" i="12"/>
  <c r="C37" i="12" s="1"/>
  <c r="Q13" i="12"/>
  <c r="S57" i="12"/>
  <c r="Q56" i="12"/>
  <c r="L34" i="12"/>
  <c r="N34" i="12" s="1"/>
  <c r="R32" i="11"/>
  <c r="B85" i="11"/>
  <c r="F85" i="11" s="1"/>
  <c r="S14" i="11"/>
  <c r="Q13" i="11"/>
  <c r="S57" i="11"/>
  <c r="Q56" i="11"/>
  <c r="M76" i="11"/>
  <c r="N76" i="11" s="1"/>
  <c r="M35" i="11"/>
  <c r="M75" i="11"/>
  <c r="N75" i="11" s="1"/>
  <c r="M33" i="11"/>
  <c r="N33" i="11" s="1"/>
  <c r="M34" i="11"/>
  <c r="N34" i="11" s="1"/>
  <c r="N35" i="11"/>
  <c r="R76" i="10"/>
  <c r="G77" i="10"/>
  <c r="H77" i="10" s="1"/>
  <c r="K77" i="10" s="1"/>
  <c r="L77" i="10" s="1"/>
  <c r="G37" i="10"/>
  <c r="H37" i="10" s="1"/>
  <c r="K37" i="10" s="1"/>
  <c r="L37" i="10" s="1"/>
  <c r="S57" i="10"/>
  <c r="Q56" i="10"/>
  <c r="S14" i="10"/>
  <c r="Q13" i="10"/>
  <c r="S13" i="10" s="1"/>
  <c r="G36" i="10"/>
  <c r="H36" i="10" s="1"/>
  <c r="K36" i="10" s="1"/>
  <c r="L36" i="10" s="1"/>
  <c r="M76" i="9"/>
  <c r="S14" i="9"/>
  <c r="Q13" i="9"/>
  <c r="S13" i="9" s="1"/>
  <c r="S57" i="9"/>
  <c r="Q56" i="9"/>
  <c r="B87" i="9"/>
  <c r="F87" i="9" s="1"/>
  <c r="R34" i="9"/>
  <c r="G36" i="9"/>
  <c r="H36" i="9" s="1"/>
  <c r="K36" i="9" s="1"/>
  <c r="L36" i="9" s="1"/>
  <c r="L76" i="9"/>
  <c r="N76" i="9" s="1"/>
  <c r="G37" i="9"/>
  <c r="H37" i="9" s="1"/>
  <c r="K37" i="9" s="1"/>
  <c r="L37" i="9" s="1"/>
  <c r="P35" i="9"/>
  <c r="S35" i="9" s="1"/>
  <c r="G37" i="8"/>
  <c r="H37" i="8" s="1"/>
  <c r="K37" i="8" s="1"/>
  <c r="L37" i="8" s="1"/>
  <c r="G36" i="8"/>
  <c r="H36" i="8" s="1"/>
  <c r="K36" i="8" s="1"/>
  <c r="S57" i="8"/>
  <c r="Q56" i="8"/>
  <c r="M76" i="8"/>
  <c r="N76" i="8" s="1"/>
  <c r="P76" i="8" s="1"/>
  <c r="S76" i="8" s="1"/>
  <c r="B87" i="7"/>
  <c r="F87" i="7" s="1"/>
  <c r="R75" i="7"/>
  <c r="R35" i="7"/>
  <c r="S14" i="7"/>
  <c r="Q13" i="7"/>
  <c r="G36" i="7"/>
  <c r="H36" i="7" s="1"/>
  <c r="K36" i="7" s="1"/>
  <c r="L36" i="7" s="1"/>
  <c r="G76" i="7"/>
  <c r="H76" i="7" s="1"/>
  <c r="K76" i="7" s="1"/>
  <c r="L76" i="7" s="1"/>
  <c r="S57" i="7"/>
  <c r="D78" i="7" s="1"/>
  <c r="Q56" i="7"/>
  <c r="S57" i="6"/>
  <c r="Q56" i="6"/>
  <c r="S14" i="6"/>
  <c r="Q13" i="6"/>
  <c r="R35" i="6"/>
  <c r="G76" i="6"/>
  <c r="H76" i="6" s="1"/>
  <c r="K76" i="6" s="1"/>
  <c r="G36" i="6"/>
  <c r="H36" i="6" s="1"/>
  <c r="K36" i="6" s="1"/>
  <c r="B87" i="6"/>
  <c r="F87" i="6" s="1"/>
  <c r="R75" i="6"/>
  <c r="R34" i="5"/>
  <c r="G36" i="5"/>
  <c r="H36" i="5" s="1"/>
  <c r="K36" i="5" s="1"/>
  <c r="L36" i="5" s="1"/>
  <c r="M75" i="5"/>
  <c r="N75" i="5" s="1"/>
  <c r="P35" i="5"/>
  <c r="S35" i="5" s="1"/>
  <c r="S14" i="5"/>
  <c r="Q13" i="5"/>
  <c r="S57" i="5"/>
  <c r="Q56" i="5"/>
  <c r="G36" i="4"/>
  <c r="H36" i="4" s="1"/>
  <c r="K36" i="4" s="1"/>
  <c r="G35" i="4"/>
  <c r="H35" i="4" s="1"/>
  <c r="K35" i="4" s="1"/>
  <c r="L35" i="4" s="1"/>
  <c r="S14" i="4"/>
  <c r="Q13" i="4"/>
  <c r="S57" i="4"/>
  <c r="Q56" i="4"/>
  <c r="M75" i="4"/>
  <c r="N75" i="4" s="1"/>
  <c r="P75" i="4" s="1"/>
  <c r="S75" i="4" s="1"/>
  <c r="G76" i="3"/>
  <c r="H76" i="3" s="1"/>
  <c r="K76" i="3" s="1"/>
  <c r="G75" i="3"/>
  <c r="H75" i="3" s="1"/>
  <c r="K75" i="3" s="1"/>
  <c r="L75" i="3" s="1"/>
  <c r="G36" i="3"/>
  <c r="H36" i="3" s="1"/>
  <c r="K36" i="3" s="1"/>
  <c r="L36" i="3" s="1"/>
  <c r="S57" i="3"/>
  <c r="Q56" i="3"/>
  <c r="S14" i="3"/>
  <c r="Q13" i="3"/>
  <c r="S13" i="2"/>
  <c r="Q12" i="2"/>
  <c r="S57" i="2"/>
  <c r="Q56" i="2"/>
  <c r="M75" i="2"/>
  <c r="N75" i="2" s="1"/>
  <c r="M74" i="2"/>
  <c r="N74" i="2" s="1"/>
  <c r="S57" i="1"/>
  <c r="Q56" i="1"/>
  <c r="B86" i="1"/>
  <c r="F86" i="1" s="1"/>
  <c r="R74" i="1"/>
  <c r="M37" i="1"/>
  <c r="L37" i="1"/>
  <c r="S75" i="1"/>
  <c r="S36" i="2" l="1"/>
  <c r="R36" i="2"/>
  <c r="G37" i="2"/>
  <c r="H37" i="2" s="1"/>
  <c r="K37" i="2" s="1"/>
  <c r="L37" i="2" s="1"/>
  <c r="S35" i="3"/>
  <c r="R35" i="3"/>
  <c r="S34" i="3"/>
  <c r="R34" i="3"/>
  <c r="P75" i="5"/>
  <c r="S75" i="5" s="1"/>
  <c r="B87" i="5" s="1"/>
  <c r="F87" i="5" s="1"/>
  <c r="R74" i="5"/>
  <c r="S74" i="5"/>
  <c r="B86" i="5" s="1"/>
  <c r="F86" i="5" s="1"/>
  <c r="R35" i="10"/>
  <c r="S35" i="10"/>
  <c r="B88" i="10" s="1"/>
  <c r="F88" i="10" s="1"/>
  <c r="R33" i="12"/>
  <c r="S33" i="12"/>
  <c r="C37" i="13"/>
  <c r="S75" i="16"/>
  <c r="R75" i="16"/>
  <c r="R33" i="17"/>
  <c r="S33" i="17"/>
  <c r="S74" i="19"/>
  <c r="B86" i="19" s="1"/>
  <c r="F86" i="19" s="1"/>
  <c r="R74" i="19"/>
  <c r="P75" i="19"/>
  <c r="N37" i="1"/>
  <c r="B86" i="12"/>
  <c r="F86" i="12" s="1"/>
  <c r="N35" i="12"/>
  <c r="N33" i="15"/>
  <c r="B86" i="17"/>
  <c r="F86" i="17" s="1"/>
  <c r="P34" i="17"/>
  <c r="P34" i="20"/>
  <c r="G36" i="20"/>
  <c r="H36" i="20" s="1"/>
  <c r="K36" i="20" s="1"/>
  <c r="M77" i="20"/>
  <c r="N77" i="20" s="1"/>
  <c r="P77" i="20" s="1"/>
  <c r="S77" i="20" s="1"/>
  <c r="S16" i="20"/>
  <c r="Q15" i="20"/>
  <c r="S56" i="20"/>
  <c r="Q55" i="20"/>
  <c r="S56" i="19"/>
  <c r="Q55" i="19"/>
  <c r="S16" i="19"/>
  <c r="D37" i="19" s="1"/>
  <c r="Q15" i="19"/>
  <c r="P34" i="19"/>
  <c r="S34" i="19" s="1"/>
  <c r="G36" i="19"/>
  <c r="H36" i="19" s="1"/>
  <c r="K36" i="19" s="1"/>
  <c r="M35" i="18"/>
  <c r="N35" i="18" s="1"/>
  <c r="P33" i="18"/>
  <c r="S33" i="18" s="1"/>
  <c r="G77" i="18"/>
  <c r="H77" i="18" s="1"/>
  <c r="K77" i="18" s="1"/>
  <c r="R76" i="18"/>
  <c r="S56" i="18"/>
  <c r="Q55" i="18"/>
  <c r="S16" i="18"/>
  <c r="C37" i="18" s="1"/>
  <c r="Q15" i="18"/>
  <c r="R76" i="17"/>
  <c r="G77" i="17"/>
  <c r="H77" i="17" s="1"/>
  <c r="K77" i="17" s="1"/>
  <c r="G36" i="17"/>
  <c r="H36" i="17" s="1"/>
  <c r="K36" i="17" s="1"/>
  <c r="L36" i="17" s="1"/>
  <c r="S56" i="17"/>
  <c r="Q55" i="17"/>
  <c r="S16" i="17"/>
  <c r="Q15" i="17"/>
  <c r="P34" i="16"/>
  <c r="R76" i="16"/>
  <c r="B86" i="16"/>
  <c r="F86" i="16" s="1"/>
  <c r="R33" i="16"/>
  <c r="G77" i="16"/>
  <c r="H77" i="16" s="1"/>
  <c r="K77" i="16" s="1"/>
  <c r="L77" i="16" s="1"/>
  <c r="S16" i="16"/>
  <c r="Q15" i="16"/>
  <c r="S56" i="16"/>
  <c r="Q55" i="16"/>
  <c r="G35" i="15"/>
  <c r="H35" i="15" s="1"/>
  <c r="K35" i="15" s="1"/>
  <c r="L35" i="15" s="1"/>
  <c r="S16" i="15"/>
  <c r="Q15" i="15"/>
  <c r="S56" i="15"/>
  <c r="Q55" i="15"/>
  <c r="M76" i="15"/>
  <c r="N76" i="15" s="1"/>
  <c r="P76" i="15" s="1"/>
  <c r="S76" i="15" s="1"/>
  <c r="P33" i="15"/>
  <c r="S33" i="15" s="1"/>
  <c r="R32" i="14"/>
  <c r="B85" i="14"/>
  <c r="F85" i="14" s="1"/>
  <c r="R75" i="14"/>
  <c r="M34" i="14"/>
  <c r="L34" i="14"/>
  <c r="G76" i="14"/>
  <c r="H76" i="14" s="1"/>
  <c r="K76" i="14" s="1"/>
  <c r="L76" i="14" s="1"/>
  <c r="S56" i="14"/>
  <c r="Q55" i="14"/>
  <c r="S16" i="14"/>
  <c r="Q15" i="14"/>
  <c r="P33" i="14"/>
  <c r="S33" i="14" s="1"/>
  <c r="P35" i="13"/>
  <c r="S35" i="13" s="1"/>
  <c r="P34" i="13"/>
  <c r="S34" i="13" s="1"/>
  <c r="R75" i="13"/>
  <c r="S13" i="13"/>
  <c r="D37" i="13" s="1"/>
  <c r="Q12" i="13"/>
  <c r="G36" i="13"/>
  <c r="H36" i="13" s="1"/>
  <c r="K36" i="13" s="1"/>
  <c r="L36" i="13" s="1"/>
  <c r="R33" i="13"/>
  <c r="B86" i="13"/>
  <c r="F86" i="13" s="1"/>
  <c r="S56" i="13"/>
  <c r="Q55" i="13"/>
  <c r="G36" i="12"/>
  <c r="H36" i="12" s="1"/>
  <c r="K36" i="12" s="1"/>
  <c r="L36" i="12" s="1"/>
  <c r="P34" i="12"/>
  <c r="S34" i="12" s="1"/>
  <c r="S56" i="12"/>
  <c r="Q55" i="12"/>
  <c r="S13" i="12"/>
  <c r="D37" i="12" s="1"/>
  <c r="Q12" i="12"/>
  <c r="N75" i="12"/>
  <c r="P75" i="12" s="1"/>
  <c r="S75" i="12" s="1"/>
  <c r="P33" i="11"/>
  <c r="S33" i="11" s="1"/>
  <c r="P75" i="11"/>
  <c r="S75" i="11" s="1"/>
  <c r="S56" i="11"/>
  <c r="Q55" i="11"/>
  <c r="S13" i="11"/>
  <c r="Q12" i="11"/>
  <c r="G36" i="11"/>
  <c r="H36" i="11" s="1"/>
  <c r="K36" i="11" s="1"/>
  <c r="L36" i="11" s="1"/>
  <c r="M36" i="10"/>
  <c r="N36" i="10" s="1"/>
  <c r="P36" i="10" s="1"/>
  <c r="S36" i="10" s="1"/>
  <c r="S56" i="10"/>
  <c r="Q55" i="10"/>
  <c r="M37" i="10"/>
  <c r="N37" i="10" s="1"/>
  <c r="M77" i="10"/>
  <c r="N77" i="10" s="1"/>
  <c r="P77" i="10" s="1"/>
  <c r="S77" i="10" s="1"/>
  <c r="R35" i="9"/>
  <c r="M36" i="9"/>
  <c r="N36" i="9" s="1"/>
  <c r="P36" i="9" s="1"/>
  <c r="S36" i="9" s="1"/>
  <c r="S56" i="9"/>
  <c r="Q55" i="9"/>
  <c r="P76" i="9"/>
  <c r="S76" i="9" s="1"/>
  <c r="M37" i="9"/>
  <c r="N37" i="9" s="1"/>
  <c r="B88" i="8"/>
  <c r="F88" i="8" s="1"/>
  <c r="R76" i="8"/>
  <c r="G77" i="8"/>
  <c r="H77" i="8" s="1"/>
  <c r="K77" i="8" s="1"/>
  <c r="L77" i="8" s="1"/>
  <c r="M36" i="8"/>
  <c r="S56" i="8"/>
  <c r="Q55" i="8"/>
  <c r="L36" i="8"/>
  <c r="M37" i="8"/>
  <c r="N37" i="8" s="1"/>
  <c r="S56" i="7"/>
  <c r="Q55" i="7"/>
  <c r="M76" i="7"/>
  <c r="N76" i="7" s="1"/>
  <c r="P76" i="7" s="1"/>
  <c r="S76" i="7" s="1"/>
  <c r="M36" i="7"/>
  <c r="N36" i="7" s="1"/>
  <c r="P36" i="7" s="1"/>
  <c r="S36" i="7" s="1"/>
  <c r="S13" i="7"/>
  <c r="Q12" i="7"/>
  <c r="S12" i="7" s="1"/>
  <c r="M36" i="6"/>
  <c r="M76" i="6"/>
  <c r="L36" i="6"/>
  <c r="L76" i="6"/>
  <c r="S13" i="6"/>
  <c r="Q12" i="6"/>
  <c r="S12" i="6" s="1"/>
  <c r="S56" i="6"/>
  <c r="Q55" i="6"/>
  <c r="S56" i="5"/>
  <c r="Q55" i="5"/>
  <c r="S13" i="5"/>
  <c r="Q12" i="5"/>
  <c r="S12" i="5" s="1"/>
  <c r="R35" i="5"/>
  <c r="M36" i="5"/>
  <c r="N36" i="5" s="1"/>
  <c r="P36" i="5" s="1"/>
  <c r="S36" i="5" s="1"/>
  <c r="B87" i="4"/>
  <c r="F87" i="4" s="1"/>
  <c r="R75" i="4"/>
  <c r="S56" i="4"/>
  <c r="Q55" i="4"/>
  <c r="S13" i="4"/>
  <c r="Q12" i="4"/>
  <c r="S12" i="4" s="1"/>
  <c r="M36" i="4"/>
  <c r="L36" i="4"/>
  <c r="M35" i="4"/>
  <c r="N35" i="4" s="1"/>
  <c r="P35" i="4" s="1"/>
  <c r="S35" i="4" s="1"/>
  <c r="S13" i="3"/>
  <c r="Q12" i="3"/>
  <c r="S12" i="3" s="1"/>
  <c r="S56" i="3"/>
  <c r="Q55" i="3"/>
  <c r="M36" i="3"/>
  <c r="N36" i="3" s="1"/>
  <c r="P36" i="3" s="1"/>
  <c r="S36" i="3" s="1"/>
  <c r="M75" i="3"/>
  <c r="N75" i="3" s="1"/>
  <c r="P75" i="3" s="1"/>
  <c r="S75" i="3" s="1"/>
  <c r="M76" i="3"/>
  <c r="N76" i="3" s="1"/>
  <c r="P74" i="2"/>
  <c r="S56" i="2"/>
  <c r="Q55" i="2"/>
  <c r="S12" i="2"/>
  <c r="Q11" i="2"/>
  <c r="S11" i="2" s="1"/>
  <c r="G76" i="2"/>
  <c r="H76" i="2" s="1"/>
  <c r="K76" i="2" s="1"/>
  <c r="L76" i="2" s="1"/>
  <c r="R75" i="1"/>
  <c r="B87" i="1"/>
  <c r="F87" i="1" s="1"/>
  <c r="S76" i="1"/>
  <c r="S56" i="1"/>
  <c r="Q55" i="1"/>
  <c r="R37" i="1" l="1"/>
  <c r="S37" i="1"/>
  <c r="P75" i="2"/>
  <c r="S75" i="2" s="1"/>
  <c r="B87" i="2" s="1"/>
  <c r="F87" i="2" s="1"/>
  <c r="S74" i="2"/>
  <c r="B86" i="2" s="1"/>
  <c r="F86" i="2" s="1"/>
  <c r="M37" i="2"/>
  <c r="N37" i="2" s="1"/>
  <c r="P37" i="2" s="1"/>
  <c r="R75" i="5"/>
  <c r="N34" i="14"/>
  <c r="P35" i="16"/>
  <c r="S35" i="16" s="1"/>
  <c r="B88" i="16" s="1"/>
  <c r="F88" i="16" s="1"/>
  <c r="S34" i="16"/>
  <c r="S34" i="17"/>
  <c r="B87" i="17" s="1"/>
  <c r="F87" i="17" s="1"/>
  <c r="S75" i="19"/>
  <c r="B87" i="19" s="1"/>
  <c r="F87" i="19" s="1"/>
  <c r="R75" i="19"/>
  <c r="P76" i="19"/>
  <c r="P35" i="20"/>
  <c r="S35" i="20" s="1"/>
  <c r="S34" i="20"/>
  <c r="N36" i="4"/>
  <c r="P36" i="4" s="1"/>
  <c r="S36" i="4" s="1"/>
  <c r="N76" i="6"/>
  <c r="P37" i="9"/>
  <c r="P35" i="12"/>
  <c r="S35" i="12" s="1"/>
  <c r="R34" i="17"/>
  <c r="P35" i="17"/>
  <c r="B88" i="20"/>
  <c r="F88" i="20" s="1"/>
  <c r="R77" i="20"/>
  <c r="M36" i="20"/>
  <c r="L36" i="20"/>
  <c r="S55" i="20"/>
  <c r="Q54" i="20"/>
  <c r="S15" i="20"/>
  <c r="Q14" i="20"/>
  <c r="R34" i="20"/>
  <c r="B87" i="20"/>
  <c r="F87" i="20" s="1"/>
  <c r="M36" i="19"/>
  <c r="R34" i="19"/>
  <c r="G78" i="19"/>
  <c r="H78" i="19" s="1"/>
  <c r="K78" i="19" s="1"/>
  <c r="L78" i="19" s="1"/>
  <c r="L36" i="19"/>
  <c r="S15" i="19"/>
  <c r="Q14" i="19"/>
  <c r="S55" i="19"/>
  <c r="Q54" i="19"/>
  <c r="P35" i="19"/>
  <c r="S35" i="19" s="1"/>
  <c r="M77" i="18"/>
  <c r="G36" i="18"/>
  <c r="H36" i="18" s="1"/>
  <c r="K36" i="18" s="1"/>
  <c r="L36" i="18" s="1"/>
  <c r="L77" i="18"/>
  <c r="N77" i="18" s="1"/>
  <c r="S15" i="18"/>
  <c r="D37" i="18" s="1"/>
  <c r="Q14" i="18"/>
  <c r="S55" i="18"/>
  <c r="Q54" i="18"/>
  <c r="R33" i="18"/>
  <c r="B86" i="18"/>
  <c r="F86" i="18" s="1"/>
  <c r="P34" i="18"/>
  <c r="S34" i="18" s="1"/>
  <c r="S55" i="17"/>
  <c r="Q54" i="17"/>
  <c r="M77" i="17"/>
  <c r="M36" i="17"/>
  <c r="N36" i="17" s="1"/>
  <c r="P36" i="17" s="1"/>
  <c r="S36" i="17" s="1"/>
  <c r="L77" i="17"/>
  <c r="N77" i="17" s="1"/>
  <c r="S15" i="17"/>
  <c r="Q14" i="17"/>
  <c r="R35" i="17"/>
  <c r="S55" i="16"/>
  <c r="Q54" i="16"/>
  <c r="S15" i="16"/>
  <c r="Q14" i="16"/>
  <c r="M77" i="16"/>
  <c r="B87" i="16"/>
  <c r="F87" i="16" s="1"/>
  <c r="R34" i="16"/>
  <c r="G36" i="16"/>
  <c r="H36" i="16" s="1"/>
  <c r="K36" i="16" s="1"/>
  <c r="L36" i="16" s="1"/>
  <c r="N77" i="16"/>
  <c r="P77" i="16" s="1"/>
  <c r="S77" i="16" s="1"/>
  <c r="R35" i="16"/>
  <c r="R76" i="15"/>
  <c r="S55" i="15"/>
  <c r="Q54" i="15"/>
  <c r="S15" i="15"/>
  <c r="Q14" i="15"/>
  <c r="M35" i="15"/>
  <c r="N35" i="15" s="1"/>
  <c r="R33" i="15"/>
  <c r="B86" i="15"/>
  <c r="F86" i="15" s="1"/>
  <c r="G77" i="15"/>
  <c r="H77" i="15" s="1"/>
  <c r="K77" i="15" s="1"/>
  <c r="P34" i="15"/>
  <c r="S34" i="15" s="1"/>
  <c r="S15" i="14"/>
  <c r="Q14" i="14"/>
  <c r="B86" i="14"/>
  <c r="F86" i="14" s="1"/>
  <c r="R33" i="14"/>
  <c r="G35" i="14"/>
  <c r="H35" i="14" s="1"/>
  <c r="K35" i="14" s="1"/>
  <c r="L35" i="14" s="1"/>
  <c r="S55" i="14"/>
  <c r="C78" i="14" s="1"/>
  <c r="Q54" i="14"/>
  <c r="M76" i="14"/>
  <c r="N76" i="14" s="1"/>
  <c r="P76" i="14" s="1"/>
  <c r="S76" i="14" s="1"/>
  <c r="P34" i="14"/>
  <c r="S34" i="14" s="1"/>
  <c r="G77" i="13"/>
  <c r="H77" i="13" s="1"/>
  <c r="K77" i="13" s="1"/>
  <c r="L77" i="13" s="1"/>
  <c r="G76" i="13"/>
  <c r="H76" i="13" s="1"/>
  <c r="K76" i="13" s="1"/>
  <c r="L76" i="13" s="1"/>
  <c r="S55" i="13"/>
  <c r="Q54" i="13"/>
  <c r="S12" i="13"/>
  <c r="Q11" i="13"/>
  <c r="S11" i="13" s="1"/>
  <c r="B87" i="13"/>
  <c r="F87" i="13" s="1"/>
  <c r="R34" i="13"/>
  <c r="M36" i="13"/>
  <c r="N36" i="13" s="1"/>
  <c r="P36" i="13" s="1"/>
  <c r="S36" i="13" s="1"/>
  <c r="R35" i="13"/>
  <c r="B87" i="12"/>
  <c r="F87" i="12" s="1"/>
  <c r="R75" i="12"/>
  <c r="S12" i="12"/>
  <c r="Q11" i="12"/>
  <c r="S11" i="12" s="1"/>
  <c r="S55" i="12"/>
  <c r="Q54" i="12"/>
  <c r="P76" i="12"/>
  <c r="S76" i="12" s="1"/>
  <c r="R34" i="12"/>
  <c r="M36" i="12"/>
  <c r="N36" i="12" s="1"/>
  <c r="S12" i="11"/>
  <c r="Q11" i="11"/>
  <c r="S11" i="11" s="1"/>
  <c r="Q54" i="11"/>
  <c r="R75" i="11"/>
  <c r="R33" i="11"/>
  <c r="B86" i="11"/>
  <c r="F86" i="11" s="1"/>
  <c r="M36" i="11"/>
  <c r="N36" i="11" s="1"/>
  <c r="G77" i="11"/>
  <c r="H77" i="11" s="1"/>
  <c r="K77" i="11" s="1"/>
  <c r="L77" i="11" s="1"/>
  <c r="P34" i="11"/>
  <c r="S34" i="11" s="1"/>
  <c r="P76" i="11"/>
  <c r="S76" i="11" s="1"/>
  <c r="B89" i="10"/>
  <c r="F89" i="10" s="1"/>
  <c r="R77" i="10"/>
  <c r="R36" i="10"/>
  <c r="G78" i="10"/>
  <c r="H78" i="10" s="1"/>
  <c r="K78" i="10" s="1"/>
  <c r="L78" i="10" s="1"/>
  <c r="P37" i="10"/>
  <c r="S37" i="10" s="1"/>
  <c r="S55" i="10"/>
  <c r="Q54" i="10"/>
  <c r="S54" i="10" s="1"/>
  <c r="R36" i="9"/>
  <c r="G77" i="9"/>
  <c r="H77" i="9" s="1"/>
  <c r="K77" i="9" s="1"/>
  <c r="L77" i="9" s="1"/>
  <c r="B88" i="9"/>
  <c r="F88" i="9" s="1"/>
  <c r="R76" i="9"/>
  <c r="G78" i="9"/>
  <c r="H78" i="9" s="1"/>
  <c r="K78" i="9" s="1"/>
  <c r="L78" i="9" s="1"/>
  <c r="S55" i="9"/>
  <c r="Q54" i="9"/>
  <c r="S54" i="9" s="1"/>
  <c r="S55" i="8"/>
  <c r="Q54" i="8"/>
  <c r="S54" i="8" s="1"/>
  <c r="N36" i="8"/>
  <c r="P36" i="8" s="1"/>
  <c r="S36" i="8" s="1"/>
  <c r="M77" i="8"/>
  <c r="N77" i="8" s="1"/>
  <c r="P77" i="8" s="1"/>
  <c r="S77" i="8" s="1"/>
  <c r="R36" i="7"/>
  <c r="B88" i="7"/>
  <c r="F88" i="7" s="1"/>
  <c r="R76" i="7"/>
  <c r="S55" i="7"/>
  <c r="Q54" i="7"/>
  <c r="S54" i="7" s="1"/>
  <c r="G37" i="7"/>
  <c r="H37" i="7" s="1"/>
  <c r="K37" i="7" s="1"/>
  <c r="L37" i="7" s="1"/>
  <c r="G37" i="6"/>
  <c r="H37" i="6" s="1"/>
  <c r="K37" i="6" s="1"/>
  <c r="L37" i="6" s="1"/>
  <c r="N36" i="6"/>
  <c r="P36" i="6" s="1"/>
  <c r="S36" i="6" s="1"/>
  <c r="P76" i="6"/>
  <c r="S76" i="6" s="1"/>
  <c r="S55" i="6"/>
  <c r="Q54" i="6"/>
  <c r="S54" i="6" s="1"/>
  <c r="R36" i="5"/>
  <c r="G76" i="5"/>
  <c r="H76" i="5" s="1"/>
  <c r="K76" i="5" s="1"/>
  <c r="L76" i="5" s="1"/>
  <c r="G37" i="5"/>
  <c r="H37" i="5" s="1"/>
  <c r="K37" i="5" s="1"/>
  <c r="G77" i="5"/>
  <c r="H77" i="5" s="1"/>
  <c r="K77" i="5" s="1"/>
  <c r="L77" i="5" s="1"/>
  <c r="S55" i="5"/>
  <c r="Q54" i="5"/>
  <c r="S54" i="5" s="1"/>
  <c r="R35" i="4"/>
  <c r="G76" i="4"/>
  <c r="H76" i="4" s="1"/>
  <c r="K76" i="4" s="1"/>
  <c r="L76" i="4" s="1"/>
  <c r="G37" i="4"/>
  <c r="H37" i="4" s="1"/>
  <c r="K37" i="4" s="1"/>
  <c r="L37" i="4" s="1"/>
  <c r="G77" i="4"/>
  <c r="H77" i="4" s="1"/>
  <c r="K77" i="4" s="1"/>
  <c r="L77" i="4" s="1"/>
  <c r="S55" i="4"/>
  <c r="Q54" i="4"/>
  <c r="S54" i="4" s="1"/>
  <c r="R36" i="3"/>
  <c r="B87" i="3"/>
  <c r="F87" i="3" s="1"/>
  <c r="R75" i="3"/>
  <c r="G77" i="3"/>
  <c r="H77" i="3" s="1"/>
  <c r="K77" i="3" s="1"/>
  <c r="L77" i="3" s="1"/>
  <c r="G37" i="3"/>
  <c r="H37" i="3" s="1"/>
  <c r="K37" i="3" s="1"/>
  <c r="L37" i="3" s="1"/>
  <c r="P76" i="3"/>
  <c r="S76" i="3" s="1"/>
  <c r="S55" i="3"/>
  <c r="Q54" i="3"/>
  <c r="S54" i="3" s="1"/>
  <c r="M76" i="2"/>
  <c r="N76" i="2" s="1"/>
  <c r="S55" i="2"/>
  <c r="Q54" i="2"/>
  <c r="S54" i="2" s="1"/>
  <c r="R74" i="2"/>
  <c r="S55" i="1"/>
  <c r="Q54" i="1"/>
  <c r="S54" i="1" s="1"/>
  <c r="B88" i="1"/>
  <c r="F88" i="1" s="1"/>
  <c r="R76" i="1"/>
  <c r="G78" i="1" l="1"/>
  <c r="H78" i="1" s="1"/>
  <c r="K78" i="1" s="1"/>
  <c r="M78" i="1" s="1"/>
  <c r="G77" i="1"/>
  <c r="H77" i="1" s="1"/>
  <c r="K77" i="1" s="1"/>
  <c r="L77" i="1" s="1"/>
  <c r="R75" i="2"/>
  <c r="P76" i="2"/>
  <c r="S76" i="2" s="1"/>
  <c r="B88" i="2" s="1"/>
  <c r="F88" i="2" s="1"/>
  <c r="S37" i="2"/>
  <c r="R37" i="2"/>
  <c r="R37" i="9"/>
  <c r="S37" i="9"/>
  <c r="R35" i="12"/>
  <c r="S35" i="17"/>
  <c r="B88" i="17" s="1"/>
  <c r="F88" i="17" s="1"/>
  <c r="S76" i="19"/>
  <c r="B88" i="19" s="1"/>
  <c r="F88" i="19" s="1"/>
  <c r="R76" i="19"/>
  <c r="P77" i="19"/>
  <c r="R35" i="20"/>
  <c r="P36" i="12"/>
  <c r="S36" i="12" s="1"/>
  <c r="P35" i="15"/>
  <c r="P77" i="17"/>
  <c r="S77" i="17" s="1"/>
  <c r="P77" i="18"/>
  <c r="N36" i="19"/>
  <c r="N36" i="20"/>
  <c r="P36" i="20" s="1"/>
  <c r="S36" i="20" s="1"/>
  <c r="S14" i="20"/>
  <c r="Q13" i="20"/>
  <c r="S54" i="20"/>
  <c r="Q53" i="20"/>
  <c r="S54" i="19"/>
  <c r="Q53" i="19"/>
  <c r="S14" i="19"/>
  <c r="Q13" i="19"/>
  <c r="S13" i="19" s="1"/>
  <c r="P36" i="19"/>
  <c r="S36" i="19" s="1"/>
  <c r="R35" i="19"/>
  <c r="G37" i="19"/>
  <c r="H37" i="19" s="1"/>
  <c r="K37" i="19" s="1"/>
  <c r="L37" i="19" s="1"/>
  <c r="M78" i="19"/>
  <c r="N78" i="19" s="1"/>
  <c r="S54" i="18"/>
  <c r="Q53" i="18"/>
  <c r="S14" i="18"/>
  <c r="Q13" i="18"/>
  <c r="R34" i="18"/>
  <c r="B87" i="18"/>
  <c r="F87" i="18" s="1"/>
  <c r="G78" i="18"/>
  <c r="H78" i="18" s="1"/>
  <c r="K78" i="18" s="1"/>
  <c r="L78" i="18" s="1"/>
  <c r="M36" i="18"/>
  <c r="N36" i="18" s="1"/>
  <c r="P35" i="18"/>
  <c r="S35" i="18" s="1"/>
  <c r="R36" i="17"/>
  <c r="S14" i="17"/>
  <c r="Q13" i="17"/>
  <c r="S54" i="17"/>
  <c r="Q53" i="17"/>
  <c r="R77" i="16"/>
  <c r="S14" i="16"/>
  <c r="Q13" i="16"/>
  <c r="S54" i="16"/>
  <c r="Q53" i="16"/>
  <c r="M36" i="16"/>
  <c r="N36" i="16" s="1"/>
  <c r="P36" i="16" s="1"/>
  <c r="S36" i="16" s="1"/>
  <c r="B87" i="15"/>
  <c r="F87" i="15" s="1"/>
  <c r="R34" i="15"/>
  <c r="M77" i="15"/>
  <c r="S14" i="15"/>
  <c r="Q13" i="15"/>
  <c r="S54" i="15"/>
  <c r="Q53" i="15"/>
  <c r="L77" i="15"/>
  <c r="G36" i="15"/>
  <c r="H36" i="15" s="1"/>
  <c r="K36" i="15" s="1"/>
  <c r="L36" i="15" s="1"/>
  <c r="B87" i="14"/>
  <c r="F87" i="14" s="1"/>
  <c r="R34" i="14"/>
  <c r="G77" i="14"/>
  <c r="H77" i="14" s="1"/>
  <c r="K77" i="14" s="1"/>
  <c r="R76" i="14"/>
  <c r="S54" i="14"/>
  <c r="D78" i="14" s="1"/>
  <c r="Q53" i="14"/>
  <c r="M35" i="14"/>
  <c r="N35" i="14" s="1"/>
  <c r="P35" i="14" s="1"/>
  <c r="S35" i="14" s="1"/>
  <c r="Q13" i="14"/>
  <c r="R36" i="13"/>
  <c r="G37" i="13"/>
  <c r="H37" i="13" s="1"/>
  <c r="K37" i="13" s="1"/>
  <c r="S54" i="13"/>
  <c r="Q53" i="13"/>
  <c r="S53" i="13" s="1"/>
  <c r="M76" i="13"/>
  <c r="N76" i="13" s="1"/>
  <c r="M77" i="13"/>
  <c r="N77" i="13" s="1"/>
  <c r="B88" i="12"/>
  <c r="F88" i="12" s="1"/>
  <c r="R76" i="12"/>
  <c r="G77" i="12"/>
  <c r="H77" i="12" s="1"/>
  <c r="K77" i="12" s="1"/>
  <c r="L77" i="12" s="1"/>
  <c r="G37" i="12"/>
  <c r="H37" i="12" s="1"/>
  <c r="K37" i="12" s="1"/>
  <c r="L37" i="12" s="1"/>
  <c r="S54" i="12"/>
  <c r="Q53" i="12"/>
  <c r="S53" i="12" s="1"/>
  <c r="B87" i="11"/>
  <c r="F87" i="11" s="1"/>
  <c r="R34" i="11"/>
  <c r="P35" i="11"/>
  <c r="S35" i="11" s="1"/>
  <c r="G37" i="11"/>
  <c r="H37" i="11" s="1"/>
  <c r="K37" i="11" s="1"/>
  <c r="L37" i="11" s="1"/>
  <c r="R76" i="11"/>
  <c r="M77" i="11"/>
  <c r="N77" i="11" s="1"/>
  <c r="P77" i="11" s="1"/>
  <c r="S77" i="11" s="1"/>
  <c r="S54" i="11"/>
  <c r="Q53" i="11"/>
  <c r="S53" i="11" s="1"/>
  <c r="R37" i="10"/>
  <c r="M78" i="10"/>
  <c r="N78" i="10" s="1"/>
  <c r="P78" i="10" s="1"/>
  <c r="S78" i="10" s="1"/>
  <c r="M78" i="9"/>
  <c r="N78" i="9" s="1"/>
  <c r="M77" i="9"/>
  <c r="N77" i="9" s="1"/>
  <c r="B89" i="8"/>
  <c r="F89" i="8" s="1"/>
  <c r="R77" i="8"/>
  <c r="R36" i="8"/>
  <c r="G78" i="8"/>
  <c r="H78" i="8" s="1"/>
  <c r="K78" i="8" s="1"/>
  <c r="L78" i="8" s="1"/>
  <c r="P37" i="8"/>
  <c r="S37" i="8" s="1"/>
  <c r="M37" i="7"/>
  <c r="N37" i="7" s="1"/>
  <c r="P37" i="7" s="1"/>
  <c r="S37" i="7" s="1"/>
  <c r="G77" i="7"/>
  <c r="H77" i="7" s="1"/>
  <c r="K77" i="7" s="1"/>
  <c r="G78" i="7"/>
  <c r="H78" i="7" s="1"/>
  <c r="K78" i="7" s="1"/>
  <c r="G78" i="6"/>
  <c r="H78" i="6" s="1"/>
  <c r="K78" i="6" s="1"/>
  <c r="B88" i="6"/>
  <c r="F88" i="6" s="1"/>
  <c r="R76" i="6"/>
  <c r="M37" i="6"/>
  <c r="N37" i="6" s="1"/>
  <c r="P37" i="6" s="1"/>
  <c r="S37" i="6" s="1"/>
  <c r="R36" i="6"/>
  <c r="G77" i="6"/>
  <c r="H77" i="6" s="1"/>
  <c r="K77" i="6" s="1"/>
  <c r="G78" i="5"/>
  <c r="H78" i="5" s="1"/>
  <c r="K78" i="5" s="1"/>
  <c r="M37" i="5"/>
  <c r="L37" i="5"/>
  <c r="M76" i="5"/>
  <c r="N76" i="5" s="1"/>
  <c r="M77" i="5"/>
  <c r="N77" i="5" s="1"/>
  <c r="R36" i="4"/>
  <c r="M77" i="4"/>
  <c r="N77" i="4" s="1"/>
  <c r="M37" i="4"/>
  <c r="N37" i="4" s="1"/>
  <c r="P37" i="4" s="1"/>
  <c r="S37" i="4" s="1"/>
  <c r="M76" i="4"/>
  <c r="N76" i="4" s="1"/>
  <c r="G78" i="4"/>
  <c r="H78" i="4" s="1"/>
  <c r="K78" i="4" s="1"/>
  <c r="L78" i="4" s="1"/>
  <c r="G78" i="3"/>
  <c r="H78" i="3" s="1"/>
  <c r="K78" i="3" s="1"/>
  <c r="L78" i="3" s="1"/>
  <c r="M37" i="3"/>
  <c r="N37" i="3" s="1"/>
  <c r="P37" i="3" s="1"/>
  <c r="S37" i="3" s="1"/>
  <c r="M77" i="3"/>
  <c r="N77" i="3" s="1"/>
  <c r="P77" i="3" s="1"/>
  <c r="S77" i="3" s="1"/>
  <c r="B88" i="3"/>
  <c r="F88" i="3" s="1"/>
  <c r="R76" i="3"/>
  <c r="R76" i="2"/>
  <c r="G78" i="2"/>
  <c r="H78" i="2" s="1"/>
  <c r="K78" i="2" s="1"/>
  <c r="L78" i="1" l="1"/>
  <c r="M77" i="1"/>
  <c r="N77" i="1" s="1"/>
  <c r="S35" i="15"/>
  <c r="B88" i="15" s="1"/>
  <c r="F88" i="15" s="1"/>
  <c r="R77" i="18"/>
  <c r="S77" i="18"/>
  <c r="P78" i="19"/>
  <c r="S78" i="19" s="1"/>
  <c r="S77" i="19"/>
  <c r="B89" i="19" s="1"/>
  <c r="F89" i="19" s="1"/>
  <c r="R77" i="19"/>
  <c r="N37" i="5"/>
  <c r="P37" i="5" s="1"/>
  <c r="S37" i="5" s="1"/>
  <c r="R36" i="12"/>
  <c r="N77" i="15"/>
  <c r="R35" i="15"/>
  <c r="R77" i="17"/>
  <c r="P36" i="18"/>
  <c r="R36" i="20"/>
  <c r="B89" i="20"/>
  <c r="F89" i="20" s="1"/>
  <c r="G78" i="20"/>
  <c r="H78" i="20" s="1"/>
  <c r="K78" i="20" s="1"/>
  <c r="G37" i="20"/>
  <c r="H37" i="20" s="1"/>
  <c r="K37" i="20" s="1"/>
  <c r="L37" i="20" s="1"/>
  <c r="S53" i="20"/>
  <c r="Q52" i="20"/>
  <c r="S52" i="20" s="1"/>
  <c r="S13" i="20"/>
  <c r="Q12" i="20"/>
  <c r="R36" i="19"/>
  <c r="S53" i="19"/>
  <c r="Q52" i="19"/>
  <c r="S52" i="19" s="1"/>
  <c r="M37" i="19"/>
  <c r="N37" i="19" s="1"/>
  <c r="P37" i="19" s="1"/>
  <c r="S37" i="19" s="1"/>
  <c r="B88" i="18"/>
  <c r="F88" i="18" s="1"/>
  <c r="R35" i="18"/>
  <c r="G37" i="18"/>
  <c r="H37" i="18" s="1"/>
  <c r="K37" i="18" s="1"/>
  <c r="L37" i="18" s="1"/>
  <c r="M78" i="18"/>
  <c r="N78" i="18" s="1"/>
  <c r="P78" i="18" s="1"/>
  <c r="S78" i="18" s="1"/>
  <c r="S13" i="18"/>
  <c r="Q12" i="18"/>
  <c r="S12" i="18" s="1"/>
  <c r="S53" i="18"/>
  <c r="Q52" i="18"/>
  <c r="S52" i="18" s="1"/>
  <c r="G78" i="17"/>
  <c r="H78" i="17" s="1"/>
  <c r="K78" i="17" s="1"/>
  <c r="L78" i="17" s="1"/>
  <c r="G37" i="17"/>
  <c r="H37" i="17" s="1"/>
  <c r="K37" i="17" s="1"/>
  <c r="L37" i="17" s="1"/>
  <c r="B89" i="17"/>
  <c r="F89" i="17" s="1"/>
  <c r="S53" i="17"/>
  <c r="Q52" i="17"/>
  <c r="S52" i="17" s="1"/>
  <c r="S13" i="17"/>
  <c r="Q12" i="17"/>
  <c r="S12" i="17" s="1"/>
  <c r="B89" i="16"/>
  <c r="F89" i="16" s="1"/>
  <c r="R36" i="16"/>
  <c r="S53" i="16"/>
  <c r="Q52" i="16"/>
  <c r="S52" i="16" s="1"/>
  <c r="G78" i="16"/>
  <c r="H78" i="16" s="1"/>
  <c r="K78" i="16" s="1"/>
  <c r="L78" i="16" s="1"/>
  <c r="G37" i="16"/>
  <c r="H37" i="16" s="1"/>
  <c r="K37" i="16" s="1"/>
  <c r="L37" i="16" s="1"/>
  <c r="S13" i="16"/>
  <c r="Q12" i="16"/>
  <c r="S12" i="16" s="1"/>
  <c r="M36" i="15"/>
  <c r="N36" i="15" s="1"/>
  <c r="P36" i="15" s="1"/>
  <c r="S36" i="15" s="1"/>
  <c r="S53" i="15"/>
  <c r="Q52" i="15"/>
  <c r="S52" i="15" s="1"/>
  <c r="S13" i="15"/>
  <c r="Q12" i="15"/>
  <c r="P77" i="15"/>
  <c r="S77" i="15" s="1"/>
  <c r="R35" i="14"/>
  <c r="B88" i="14"/>
  <c r="F88" i="14" s="1"/>
  <c r="S13" i="14"/>
  <c r="D37" i="14" s="1"/>
  <c r="Q12" i="14"/>
  <c r="M77" i="14"/>
  <c r="G36" i="14"/>
  <c r="H36" i="14" s="1"/>
  <c r="K36" i="14" s="1"/>
  <c r="L77" i="14"/>
  <c r="S53" i="14"/>
  <c r="Q52" i="14"/>
  <c r="S52" i="14" s="1"/>
  <c r="P76" i="13"/>
  <c r="M37" i="13"/>
  <c r="L37" i="13"/>
  <c r="G78" i="13"/>
  <c r="H78" i="13" s="1"/>
  <c r="K78" i="13" s="1"/>
  <c r="L78" i="13" s="1"/>
  <c r="G78" i="12"/>
  <c r="H78" i="12" s="1"/>
  <c r="K78" i="12" s="1"/>
  <c r="M37" i="12"/>
  <c r="N37" i="12" s="1"/>
  <c r="P37" i="12" s="1"/>
  <c r="S37" i="12" s="1"/>
  <c r="M77" i="12"/>
  <c r="N77" i="12" s="1"/>
  <c r="P77" i="12" s="1"/>
  <c r="S77" i="12" s="1"/>
  <c r="G78" i="11"/>
  <c r="H78" i="11" s="1"/>
  <c r="K78" i="11" s="1"/>
  <c r="R35" i="11"/>
  <c r="B88" i="11"/>
  <c r="F88" i="11" s="1"/>
  <c r="P36" i="11"/>
  <c r="S36" i="11" s="1"/>
  <c r="R77" i="11"/>
  <c r="M37" i="11"/>
  <c r="N37" i="11" s="1"/>
  <c r="B90" i="10"/>
  <c r="F90" i="10" s="1"/>
  <c r="R78" i="10"/>
  <c r="P77" i="9"/>
  <c r="R37" i="8"/>
  <c r="M78" i="8"/>
  <c r="N78" i="8" s="1"/>
  <c r="P78" i="8" s="1"/>
  <c r="S78" i="8" s="1"/>
  <c r="M78" i="7"/>
  <c r="M77" i="7"/>
  <c r="R37" i="7"/>
  <c r="L78" i="7"/>
  <c r="L77" i="7"/>
  <c r="M77" i="6"/>
  <c r="R37" i="6"/>
  <c r="M78" i="6"/>
  <c r="L77" i="6"/>
  <c r="L78" i="6"/>
  <c r="P76" i="5"/>
  <c r="S76" i="5" s="1"/>
  <c r="M78" i="5"/>
  <c r="L78" i="5"/>
  <c r="R37" i="4"/>
  <c r="P76" i="4"/>
  <c r="M78" i="4"/>
  <c r="N78" i="4" s="1"/>
  <c r="B89" i="3"/>
  <c r="F89" i="3" s="1"/>
  <c r="R77" i="3"/>
  <c r="R37" i="3"/>
  <c r="M78" i="3"/>
  <c r="N78" i="3" s="1"/>
  <c r="P78" i="3" s="1"/>
  <c r="S78" i="3" s="1"/>
  <c r="M78" i="2"/>
  <c r="L78" i="2"/>
  <c r="G77" i="2"/>
  <c r="H77" i="2" s="1"/>
  <c r="K77" i="2" s="1"/>
  <c r="N78" i="7" l="1"/>
  <c r="S77" i="1"/>
  <c r="B89" i="1" s="1"/>
  <c r="F89" i="1" s="1"/>
  <c r="R77" i="1"/>
  <c r="N78" i="1"/>
  <c r="P77" i="4"/>
  <c r="S77" i="4" s="1"/>
  <c r="B89" i="4" s="1"/>
  <c r="F89" i="4" s="1"/>
  <c r="S76" i="4"/>
  <c r="B88" i="4" s="1"/>
  <c r="F88" i="4" s="1"/>
  <c r="N78" i="5"/>
  <c r="P78" i="9"/>
  <c r="S78" i="9" s="1"/>
  <c r="B90" i="9" s="1"/>
  <c r="F90" i="9" s="1"/>
  <c r="S77" i="9"/>
  <c r="B89" i="9" s="1"/>
  <c r="F89" i="9" s="1"/>
  <c r="P37" i="11"/>
  <c r="S37" i="11" s="1"/>
  <c r="P77" i="13"/>
  <c r="S77" i="13" s="1"/>
  <c r="B89" i="13" s="1"/>
  <c r="F89" i="13" s="1"/>
  <c r="S76" i="13"/>
  <c r="N77" i="14"/>
  <c r="R36" i="18"/>
  <c r="S36" i="18"/>
  <c r="B89" i="18" s="1"/>
  <c r="F89" i="18" s="1"/>
  <c r="R78" i="19"/>
  <c r="N78" i="2"/>
  <c r="R37" i="5"/>
  <c r="N78" i="6"/>
  <c r="N77" i="6"/>
  <c r="N77" i="7"/>
  <c r="P77" i="7" s="1"/>
  <c r="S77" i="7" s="1"/>
  <c r="S12" i="20"/>
  <c r="Q11" i="20"/>
  <c r="S11" i="20" s="1"/>
  <c r="M78" i="20"/>
  <c r="M37" i="20"/>
  <c r="N37" i="20" s="1"/>
  <c r="P37" i="20" s="1"/>
  <c r="S37" i="20" s="1"/>
  <c r="L78" i="20"/>
  <c r="B90" i="19"/>
  <c r="F90" i="19" s="1"/>
  <c r="R37" i="19"/>
  <c r="R78" i="18"/>
  <c r="M37" i="18"/>
  <c r="N37" i="18" s="1"/>
  <c r="P37" i="18" s="1"/>
  <c r="S37" i="18" s="1"/>
  <c r="M37" i="17"/>
  <c r="N37" i="17" s="1"/>
  <c r="P37" i="17" s="1"/>
  <c r="S37" i="17" s="1"/>
  <c r="M78" i="17"/>
  <c r="N78" i="17" s="1"/>
  <c r="P78" i="17" s="1"/>
  <c r="S78" i="17" s="1"/>
  <c r="M37" i="16"/>
  <c r="N37" i="16" s="1"/>
  <c r="P37" i="16" s="1"/>
  <c r="S37" i="16" s="1"/>
  <c r="M78" i="16"/>
  <c r="N78" i="16" s="1"/>
  <c r="P78" i="16" s="1"/>
  <c r="S78" i="16" s="1"/>
  <c r="R36" i="15"/>
  <c r="S12" i="15"/>
  <c r="Q11" i="15"/>
  <c r="S11" i="15" s="1"/>
  <c r="R77" i="15"/>
  <c r="G78" i="15"/>
  <c r="H78" i="15" s="1"/>
  <c r="K78" i="15" s="1"/>
  <c r="L78" i="15" s="1"/>
  <c r="G78" i="14"/>
  <c r="H78" i="14" s="1"/>
  <c r="K78" i="14" s="1"/>
  <c r="L78" i="14" s="1"/>
  <c r="M36" i="14"/>
  <c r="L36" i="14"/>
  <c r="P77" i="14"/>
  <c r="S77" i="14" s="1"/>
  <c r="S12" i="14"/>
  <c r="Q11" i="14"/>
  <c r="M78" i="13"/>
  <c r="N78" i="13" s="1"/>
  <c r="N37" i="13"/>
  <c r="P37" i="13" s="1"/>
  <c r="S37" i="13" s="1"/>
  <c r="B88" i="13"/>
  <c r="F88" i="13" s="1"/>
  <c r="R76" i="13"/>
  <c r="R37" i="12"/>
  <c r="B89" i="12"/>
  <c r="F89" i="12" s="1"/>
  <c r="R77" i="12"/>
  <c r="M78" i="12"/>
  <c r="L78" i="12"/>
  <c r="M78" i="11"/>
  <c r="B89" i="11"/>
  <c r="F89" i="11" s="1"/>
  <c r="R36" i="11"/>
  <c r="L78" i="11"/>
  <c r="R77" i="9"/>
  <c r="B90" i="8"/>
  <c r="F90" i="8" s="1"/>
  <c r="R78" i="8"/>
  <c r="P77" i="6"/>
  <c r="S77" i="6" s="1"/>
  <c r="B88" i="5"/>
  <c r="F88" i="5" s="1"/>
  <c r="R76" i="5"/>
  <c r="P77" i="5"/>
  <c r="S77" i="5" s="1"/>
  <c r="R76" i="4"/>
  <c r="R78" i="3"/>
  <c r="B90" i="3"/>
  <c r="F90" i="3" s="1"/>
  <c r="M77" i="2"/>
  <c r="L77" i="2"/>
  <c r="S78" i="1" l="1"/>
  <c r="B90" i="1" s="1"/>
  <c r="F90" i="1" s="1"/>
  <c r="R78" i="1"/>
  <c r="R77" i="4"/>
  <c r="P78" i="4"/>
  <c r="R78" i="9"/>
  <c r="R37" i="11"/>
  <c r="N78" i="12"/>
  <c r="P78" i="12" s="1"/>
  <c r="S78" i="12" s="1"/>
  <c r="R77" i="13"/>
  <c r="P78" i="13"/>
  <c r="S78" i="13" s="1"/>
  <c r="N77" i="2"/>
  <c r="P77" i="2" s="1"/>
  <c r="S77" i="2" s="1"/>
  <c r="B89" i="7"/>
  <c r="F89" i="7" s="1"/>
  <c r="P78" i="7"/>
  <c r="R77" i="7"/>
  <c r="N78" i="11"/>
  <c r="P78" i="11" s="1"/>
  <c r="S78" i="11" s="1"/>
  <c r="N36" i="14"/>
  <c r="N78" i="20"/>
  <c r="P78" i="20" s="1"/>
  <c r="S78" i="20" s="1"/>
  <c r="R37" i="20"/>
  <c r="B90" i="18"/>
  <c r="F90" i="18" s="1"/>
  <c r="R37" i="18"/>
  <c r="R37" i="17"/>
  <c r="R78" i="17"/>
  <c r="R37" i="16"/>
  <c r="R78" i="16"/>
  <c r="G37" i="15"/>
  <c r="H37" i="15" s="1"/>
  <c r="K37" i="15" s="1"/>
  <c r="B89" i="15"/>
  <c r="F89" i="15" s="1"/>
  <c r="M78" i="15"/>
  <c r="N78" i="15" s="1"/>
  <c r="P78" i="15" s="1"/>
  <c r="S78" i="15" s="1"/>
  <c r="P36" i="14"/>
  <c r="S36" i="14" s="1"/>
  <c r="S11" i="14"/>
  <c r="Q10" i="14"/>
  <c r="S10" i="14" s="1"/>
  <c r="R77" i="14"/>
  <c r="M78" i="14"/>
  <c r="N78" i="14" s="1"/>
  <c r="P78" i="14" s="1"/>
  <c r="S78" i="14" s="1"/>
  <c r="R37" i="13"/>
  <c r="B89" i="6"/>
  <c r="F89" i="6" s="1"/>
  <c r="R77" i="6"/>
  <c r="P78" i="6"/>
  <c r="S78" i="6" s="1"/>
  <c r="B89" i="5"/>
  <c r="F89" i="5" s="1"/>
  <c r="R77" i="5"/>
  <c r="P78" i="5"/>
  <c r="S78" i="5" s="1"/>
  <c r="S78" i="4" l="1"/>
  <c r="B90" i="4" s="1"/>
  <c r="F90" i="4" s="1"/>
  <c r="R78" i="4"/>
  <c r="R78" i="13"/>
  <c r="P78" i="2"/>
  <c r="R77" i="2"/>
  <c r="B89" i="2"/>
  <c r="F89" i="2" s="1"/>
  <c r="S78" i="7"/>
  <c r="B90" i="7" s="1"/>
  <c r="F90" i="7" s="1"/>
  <c r="R78" i="7"/>
  <c r="R78" i="20"/>
  <c r="B90" i="20"/>
  <c r="F90" i="20" s="1"/>
  <c r="B90" i="17"/>
  <c r="F90" i="17" s="1"/>
  <c r="B90" i="16"/>
  <c r="F90" i="16" s="1"/>
  <c r="R78" i="15"/>
  <c r="M37" i="15"/>
  <c r="L37" i="15"/>
  <c r="R78" i="14"/>
  <c r="B89" i="14"/>
  <c r="F89" i="14" s="1"/>
  <c r="R36" i="14"/>
  <c r="G37" i="14"/>
  <c r="H37" i="14" s="1"/>
  <c r="K37" i="14" s="1"/>
  <c r="L37" i="14" s="1"/>
  <c r="B90" i="13"/>
  <c r="F90" i="13" s="1"/>
  <c r="B90" i="12"/>
  <c r="F90" i="12" s="1"/>
  <c r="R78" i="12"/>
  <c r="B90" i="11"/>
  <c r="F90" i="11" s="1"/>
  <c r="R78" i="11"/>
  <c r="B90" i="6"/>
  <c r="F90" i="6" s="1"/>
  <c r="R78" i="6"/>
  <c r="B90" i="5"/>
  <c r="F90" i="5" s="1"/>
  <c r="R78" i="5"/>
  <c r="R78" i="2" l="1"/>
  <c r="S78" i="2"/>
  <c r="B90" i="2" s="1"/>
  <c r="F90" i="2" s="1"/>
  <c r="N37" i="15"/>
  <c r="P37" i="15" s="1"/>
  <c r="S37" i="15" s="1"/>
  <c r="M37" i="14"/>
  <c r="N37" i="14" s="1"/>
  <c r="P37" i="14" s="1"/>
  <c r="S37" i="14" s="1"/>
  <c r="B90" i="15" l="1"/>
  <c r="F90" i="15" s="1"/>
  <c r="R37" i="15"/>
  <c r="B90" i="14"/>
  <c r="F90" i="14" s="1"/>
  <c r="R37" i="14"/>
</calcChain>
</file>

<file path=xl/comments1.xml><?xml version="1.0" encoding="utf-8"?>
<comments xmlns="http://schemas.openxmlformats.org/spreadsheetml/2006/main">
  <authors>
    <author xml:space="preserve"> </author>
  </authors>
  <commentList>
    <comment ref="D1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8 was for ranges between 140000 and 349999</t>
        </r>
      </text>
    </comment>
    <comment ref="B18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3 was for ranges between 200000 and 999999</t>
        </r>
      </text>
    </comment>
    <comment ref="F18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7 was for ranges between 200000 and over 1000000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5 was for ranges between 500000 and over 1m</t>
        </r>
      </text>
    </comment>
  </commentList>
</comments>
</file>

<file path=xl/comments2.xml><?xml version="1.0" encoding="utf-8"?>
<comments xmlns="http://schemas.openxmlformats.org/spreadsheetml/2006/main">
  <authors>
    <author xml:space="preserve"> </author>
    <author>pkatic</author>
  </authors>
  <commentList>
    <comment ref="B16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3 was for ranges between 120000 and 199999</t>
        </r>
      </text>
    </comment>
    <comment ref="F1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3 was for ranges between 350000 and 999999</t>
        </r>
      </text>
    </comment>
    <comment ref="H1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10 was for ranges between 350000 and 999999</t>
        </r>
      </text>
    </comment>
    <comment ref="N20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19 was for ranges between 500000 and over 1m</t>
        </r>
      </text>
    </comment>
    <comment ref="P21" authorId="1">
      <text>
        <r>
          <rPr>
            <b/>
            <sz val="8"/>
            <color indexed="81"/>
            <rFont val="Tahoma"/>
            <family val="2"/>
          </rPr>
          <t>pkatic: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 xml:space="preserve"> </author>
  </authors>
  <commentList>
    <comment ref="B15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5 was for ranged between 100000 and 139999</t>
        </r>
      </text>
    </comment>
    <comment ref="D1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8 was for ranges between 100000 and 499999</t>
        </r>
      </text>
    </comment>
    <comment ref="H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7 was for ranges between 350000 and 999999</t>
        </r>
      </text>
    </comment>
    <comment ref="J2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10 was for ranges between 500000 and over1m</t>
        </r>
      </text>
    </comment>
    <comment ref="N2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12 was for ranges between 500000 and over 1m</t>
        </r>
      </text>
    </comment>
  </commentList>
</comments>
</file>

<file path=xl/comments4.xml><?xml version="1.0" encoding="utf-8"?>
<comments xmlns="http://schemas.openxmlformats.org/spreadsheetml/2006/main">
  <authors>
    <author xml:space="preserve"> </author>
  </authors>
  <commentList>
    <comment ref="B1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6 was for ranges between 120000 and 199999.</t>
        </r>
      </text>
    </comment>
    <comment ref="D19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5 was for ranges between 160000 and 499999</t>
        </r>
      </text>
    </comment>
    <comment ref="F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3 was for ranges between 350000 and over 1m</t>
        </r>
      </text>
    </comment>
    <comment ref="H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9 for ranges between 350000 and 999999</t>
        </r>
      </text>
    </comment>
    <comment ref="L2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14 was for ranges between 500000 and over 1m</t>
        </r>
      </text>
    </comment>
    <comment ref="N2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18 was for ranges between 500000 and over 1m</t>
        </r>
      </text>
    </comment>
  </commentList>
</comments>
</file>

<file path=xl/comments5.xml><?xml version="1.0" encoding="utf-8"?>
<comments xmlns="http://schemas.openxmlformats.org/spreadsheetml/2006/main">
  <authors>
    <author xml:space="preserve"> </author>
  </authors>
  <commentList>
    <comment ref="B20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for ranges between 120000 and 999999</t>
        </r>
      </text>
    </comment>
    <comment ref="D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for ranges between 350000 and 999999</t>
        </r>
      </text>
    </comment>
    <comment ref="F22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for ranges between 350000 and 999999</t>
        </r>
      </text>
    </comment>
    <comment ref="H2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for ranges between 350000 and over 1m</t>
        </r>
      </text>
    </comment>
    <comment ref="J2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for ranges between 500000 and over 1m</t>
        </r>
      </text>
    </comment>
    <comment ref="L23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for ranges between 500000 and over 1m</t>
        </r>
      </text>
    </comment>
  </commentList>
</comments>
</file>

<file path=xl/sharedStrings.xml><?xml version="1.0" encoding="utf-8"?>
<sst xmlns="http://schemas.openxmlformats.org/spreadsheetml/2006/main" count="2968" uniqueCount="140">
  <si>
    <t>bandstarting</t>
  </si>
  <si>
    <t>males20-29</t>
  </si>
  <si>
    <t>males80+</t>
  </si>
  <si>
    <t>total</t>
  </si>
  <si>
    <t>100000+</t>
  </si>
  <si>
    <t>males30-39</t>
  </si>
  <si>
    <t>males40-49</t>
  </si>
  <si>
    <t>males50-59</t>
  </si>
  <si>
    <t>males60-69</t>
  </si>
  <si>
    <t>males70-79</t>
  </si>
  <si>
    <t>200000+</t>
  </si>
  <si>
    <t>under 10000</t>
  </si>
  <si>
    <t>1000000+</t>
  </si>
  <si>
    <t>under 20000</t>
  </si>
  <si>
    <t>under 19999</t>
  </si>
  <si>
    <r>
      <t xml:space="preserve">Bands are in </t>
    </r>
    <r>
      <rPr>
        <sz val="10"/>
        <color theme="1"/>
        <rFont val="Calibri"/>
        <family val="2"/>
      </rPr>
      <t>£</t>
    </r>
  </si>
  <si>
    <t>100001+</t>
  </si>
  <si>
    <t>MALES</t>
  </si>
  <si>
    <t>Population represented by deaths using estate multiplier method</t>
  </si>
  <si>
    <t>Estate multiplier</t>
  </si>
  <si>
    <t>Total (w multiplier)</t>
  </si>
  <si>
    <t>Cumulative</t>
  </si>
  <si>
    <t>Total adult pop</t>
  </si>
  <si>
    <t>Fraction</t>
  </si>
  <si>
    <t>Parameters of Pareto Distibution / Top shares estimation</t>
  </si>
  <si>
    <t xml:space="preserve">  </t>
  </si>
  <si>
    <t>Wealth bracket</t>
  </si>
  <si>
    <t>Percentile</t>
  </si>
  <si>
    <t>q</t>
  </si>
  <si>
    <t>p</t>
  </si>
  <si>
    <t>t</t>
  </si>
  <si>
    <t>s</t>
  </si>
  <si>
    <t>p/q</t>
  </si>
  <si>
    <t>ln (p/q)</t>
  </si>
  <si>
    <t>t/s</t>
  </si>
  <si>
    <t>ln (t/s)</t>
  </si>
  <si>
    <t>a</t>
  </si>
  <si>
    <t>k</t>
  </si>
  <si>
    <t>perc^1/a</t>
  </si>
  <si>
    <t>Y threshold</t>
  </si>
  <si>
    <t>Population</t>
  </si>
  <si>
    <t>Total wealth</t>
  </si>
  <si>
    <t>Individuals above percentile</t>
  </si>
  <si>
    <t>Mean wealth</t>
  </si>
  <si>
    <t>Threshold falls in top bracket: assume parameters equal to percentile 0.25</t>
  </si>
  <si>
    <t>50000-60000</t>
  </si>
  <si>
    <t>30000-40000</t>
  </si>
  <si>
    <t>25000-30000</t>
  </si>
  <si>
    <t>15000-20000</t>
  </si>
  <si>
    <t>Notes:              (1) Total wealth deflated using CPI index from Australian Consumer Price Index: Concepts, Sources and Methods, ABS, 2005</t>
  </si>
  <si>
    <t>(2) Total net worth from Treasury's Australian Net Private Wealth, 2007.</t>
  </si>
  <si>
    <t>FEMALES</t>
  </si>
  <si>
    <t>females20-29</t>
  </si>
  <si>
    <t>females30-39</t>
  </si>
  <si>
    <t>females40-49</t>
  </si>
  <si>
    <t>females50-59</t>
  </si>
  <si>
    <t>females60-69</t>
  </si>
  <si>
    <t>females70-79</t>
  </si>
  <si>
    <t>females80+</t>
  </si>
  <si>
    <t>70000-100000</t>
  </si>
  <si>
    <t>ALL POPULATION</t>
  </si>
  <si>
    <t>TOP SHARES</t>
  </si>
  <si>
    <t>Total wealth top percentiles</t>
  </si>
  <si>
    <t>TOP SHARES %</t>
  </si>
  <si>
    <t>estate multiplier</t>
  </si>
  <si>
    <t>40000-50000</t>
  </si>
  <si>
    <t>60000-70000</t>
  </si>
  <si>
    <t>20000-25000</t>
  </si>
  <si>
    <t xml:space="preserve">Total wealth </t>
  </si>
  <si>
    <t>Use parameters of 0.25% percentile</t>
  </si>
  <si>
    <t>140000-200000</t>
  </si>
  <si>
    <t>100000-120000</t>
  </si>
  <si>
    <t>60000-80000</t>
  </si>
  <si>
    <t>120000-140000</t>
  </si>
  <si>
    <t>80000-100000</t>
  </si>
  <si>
    <t>350000-500000</t>
  </si>
  <si>
    <t>200000-350000</t>
  </si>
  <si>
    <t>160000-180000</t>
  </si>
  <si>
    <t>90000-100000</t>
  </si>
  <si>
    <t>80000-90000</t>
  </si>
  <si>
    <t>140000-160000</t>
  </si>
  <si>
    <t>70000-80000</t>
  </si>
  <si>
    <t>180000-200000</t>
  </si>
  <si>
    <t>500000-1000000</t>
  </si>
  <si>
    <t>Total wealth ($2011)</t>
  </si>
  <si>
    <t>Total net worth ($ 2011)</t>
  </si>
  <si>
    <t>Use parameters of 0.5% percentile</t>
  </si>
  <si>
    <t>Use parameters of 0.1%</t>
  </si>
  <si>
    <t>Total net worth  ($ 2011)</t>
  </si>
  <si>
    <t>Use parameters of 0.25%</t>
  </si>
  <si>
    <t>70000 - 100000</t>
  </si>
  <si>
    <t>50000 - 60000</t>
  </si>
  <si>
    <t>30000 - 40000</t>
  </si>
  <si>
    <t>25000 - 30000</t>
  </si>
  <si>
    <t>40000 - 50000</t>
  </si>
  <si>
    <t>20000 - 25000</t>
  </si>
  <si>
    <t>10000 - 15000</t>
  </si>
  <si>
    <t>60000 -70000</t>
  </si>
  <si>
    <t>15000 - 20000</t>
  </si>
  <si>
    <t>60000 - 70000</t>
  </si>
  <si>
    <t>50000 -60000</t>
  </si>
  <si>
    <t>5000 - 10000</t>
  </si>
  <si>
    <t>HILDA wave 2 (2002)</t>
  </si>
  <si>
    <t xml:space="preserve">Top percentiles </t>
  </si>
  <si>
    <t>TOP SHARES (%)</t>
  </si>
  <si>
    <t>Total net worth* ($2011)</t>
  </si>
  <si>
    <t>Cut-points</t>
  </si>
  <si>
    <t>HILDA wave 6 (2006)</t>
  </si>
  <si>
    <t>Total net worth</t>
  </si>
  <si>
    <t>HILDA wave 10 (2010)</t>
  </si>
  <si>
    <t>75000 - 100000</t>
  </si>
  <si>
    <t>50000 -75000</t>
  </si>
  <si>
    <t>25000 - 50000</t>
  </si>
  <si>
    <t>2500 - 5000</t>
  </si>
  <si>
    <t>No males</t>
  </si>
  <si>
    <t>Total pop</t>
  </si>
  <si>
    <t>SHARES (%)</t>
  </si>
  <si>
    <t xml:space="preserve">Cumulative pop </t>
  </si>
  <si>
    <t>Shares</t>
  </si>
  <si>
    <t>Cumulative Wealth (from table)</t>
  </si>
  <si>
    <t>No females</t>
  </si>
  <si>
    <t>UNCONFIDENTIALISED:</t>
  </si>
  <si>
    <t>1966 Wealth survey</t>
  </si>
  <si>
    <t>Negative</t>
  </si>
  <si>
    <t>No persons</t>
  </si>
  <si>
    <t>Share of persons</t>
  </si>
  <si>
    <t>Total population</t>
  </si>
  <si>
    <t>Average Wealth (from table)</t>
  </si>
  <si>
    <t>Cumulative pop fraction</t>
  </si>
  <si>
    <t>Cumulative wealth</t>
  </si>
  <si>
    <t>Wealth per bracket</t>
  </si>
  <si>
    <t>31000+</t>
  </si>
  <si>
    <t>21000-26000</t>
  </si>
  <si>
    <t>Top shares from Table 8 of the paper</t>
  </si>
  <si>
    <t>Total net worth (approx)</t>
  </si>
  <si>
    <t>Total net worth (aprox)</t>
  </si>
  <si>
    <t>used parameters next quintile</t>
  </si>
  <si>
    <t>Total net worth (Gunton $ 11)</t>
  </si>
  <si>
    <t>Women</t>
  </si>
  <si>
    <t>Share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</si>
</sst>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"/>
    <numFmt numFmtId="165" formatCode="0.000"/>
    <numFmt numFmtId="166" formatCode="0.000000"/>
    <numFmt numFmtId="167" formatCode="[$£-809]#,##0"/>
    <numFmt numFmtId="168" formatCode="[$£-809]#,##0.00"/>
    <numFmt numFmtId="169" formatCode="0.00000"/>
    <numFmt numFmtId="170" formatCode="&quot;$&quot;#,##0"/>
    <numFmt numFmtId="171" formatCode="&quot;$&quot;#,##0.00"/>
  </numFmts>
  <fonts count="20" x14ac:knownFonts="1">
    <font>
      <sz val="10"/>
      <color theme="1"/>
      <name val="Arial"/>
      <family val="2"/>
    </font>
    <font>
      <sz val="10"/>
      <color theme="1"/>
      <name val="Calibri"/>
      <family val="2"/>
    </font>
    <font>
      <b/>
      <u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i/>
      <sz val="10"/>
      <color indexed="8"/>
      <name val="Arial"/>
      <family val="2"/>
    </font>
    <font>
      <b/>
      <u/>
      <sz val="11"/>
      <color indexed="8"/>
      <name val="Arial"/>
      <family val="2"/>
    </font>
    <font>
      <u/>
      <sz val="10"/>
      <color indexed="8"/>
      <name val="Arial"/>
      <family val="2"/>
    </font>
    <font>
      <sz val="11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/>
    <xf numFmtId="1" fontId="0" fillId="0" borderId="0" xfId="0" applyNumberFormat="1"/>
    <xf numFmtId="0" fontId="4" fillId="0" borderId="0" xfId="0" applyFont="1"/>
    <xf numFmtId="0" fontId="0" fillId="0" borderId="0" xfId="0" applyFont="1"/>
    <xf numFmtId="164" fontId="3" fillId="0" borderId="0" xfId="0" applyNumberFormat="1" applyFont="1"/>
    <xf numFmtId="2" fontId="0" fillId="0" borderId="0" xfId="0" applyNumberFormat="1" applyFont="1"/>
    <xf numFmtId="1" fontId="4" fillId="0" borderId="0" xfId="0" applyNumberFormat="1" applyFont="1"/>
    <xf numFmtId="1" fontId="0" fillId="0" borderId="0" xfId="0" applyNumberFormat="1" applyFont="1"/>
    <xf numFmtId="2" fontId="3" fillId="0" borderId="0" xfId="0" applyNumberFormat="1" applyFont="1"/>
    <xf numFmtId="16" fontId="0" fillId="0" borderId="0" xfId="0" applyNumberFormat="1"/>
    <xf numFmtId="1" fontId="3" fillId="0" borderId="0" xfId="0" applyNumberFormat="1" applyFont="1"/>
    <xf numFmtId="0" fontId="5" fillId="0" borderId="0" xfId="0" applyFont="1"/>
    <xf numFmtId="164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0" fontId="0" fillId="0" borderId="0" xfId="0" applyNumberFormat="1"/>
    <xf numFmtId="9" fontId="0" fillId="0" borderId="0" xfId="0" applyNumberFormat="1"/>
    <xf numFmtId="2" fontId="4" fillId="0" borderId="0" xfId="0" applyNumberFormat="1" applyFon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4" fontId="0" fillId="0" borderId="0" xfId="0" applyNumberForma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1" fontId="0" fillId="2" borderId="0" xfId="0" applyNumberFormat="1" applyFill="1"/>
    <xf numFmtId="11" fontId="0" fillId="0" borderId="0" xfId="0" applyNumberFormat="1"/>
    <xf numFmtId="0" fontId="0" fillId="2" borderId="0" xfId="0" applyFill="1"/>
    <xf numFmtId="167" fontId="16" fillId="0" borderId="0" xfId="0" applyNumberFormat="1" applyFont="1"/>
    <xf numFmtId="167" fontId="0" fillId="0" borderId="0" xfId="0" applyNumberFormat="1"/>
    <xf numFmtId="3" fontId="0" fillId="0" borderId="0" xfId="0" applyNumberFormat="1"/>
    <xf numFmtId="0" fontId="3" fillId="2" borderId="0" xfId="0" applyFont="1" applyFill="1"/>
    <xf numFmtId="168" fontId="0" fillId="0" borderId="0" xfId="0" applyNumberFormat="1"/>
    <xf numFmtId="169" fontId="0" fillId="0" borderId="0" xfId="0" applyNumberFormat="1" applyFont="1"/>
    <xf numFmtId="0" fontId="17" fillId="0" borderId="0" xfId="0" applyFont="1"/>
    <xf numFmtId="170" fontId="0" fillId="0" borderId="0" xfId="0" applyNumberFormat="1"/>
    <xf numFmtId="4" fontId="0" fillId="0" borderId="0" xfId="0" applyNumberFormat="1"/>
    <xf numFmtId="171" fontId="0" fillId="0" borderId="0" xfId="0" applyNumberFormat="1"/>
    <xf numFmtId="0" fontId="18" fillId="0" borderId="0" xfId="0" applyFont="1"/>
    <xf numFmtId="0" fontId="1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2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3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topLeftCell="A49" workbookViewId="0">
      <selection activeCell="S29" sqref="S29"/>
    </sheetView>
  </sheetViews>
  <sheetFormatPr defaultRowHeight="12.75" x14ac:dyDescent="0.2"/>
  <cols>
    <col min="1" max="2" width="14.42578125" customWidth="1"/>
    <col min="3" max="3" width="15.5703125" customWidth="1"/>
    <col min="4" max="4" width="13.140625" customWidth="1"/>
    <col min="5" max="5" width="14.28515625" customWidth="1"/>
    <col min="6" max="6" width="27.140625" customWidth="1"/>
    <col min="7" max="7" width="11" customWidth="1"/>
    <col min="11" max="11" width="12.7109375" customWidth="1"/>
    <col min="14" max="14" width="13.28515625" customWidth="1"/>
    <col min="16" max="16" width="13.28515625" customWidth="1"/>
    <col min="18" max="18" width="15.85546875" customWidth="1"/>
    <col min="19" max="19" width="13.5703125" customWidth="1"/>
  </cols>
  <sheetData>
    <row r="1" spans="1:8" ht="15.75" x14ac:dyDescent="0.25">
      <c r="A1" s="1" t="s">
        <v>17</v>
      </c>
      <c r="B1" s="1"/>
    </row>
    <row r="3" spans="1:8" ht="15" x14ac:dyDescent="0.25">
      <c r="A3" s="2" t="s">
        <v>18</v>
      </c>
      <c r="B3" s="2"/>
    </row>
    <row r="6" spans="1:8" x14ac:dyDescent="0.2">
      <c r="A6" t="s">
        <v>0</v>
      </c>
      <c r="B6" t="s">
        <v>114</v>
      </c>
      <c r="C6" t="s">
        <v>117</v>
      </c>
      <c r="D6" t="s">
        <v>115</v>
      </c>
      <c r="E6" t="s">
        <v>23</v>
      </c>
      <c r="F6" t="s">
        <v>119</v>
      </c>
      <c r="G6" t="s">
        <v>41</v>
      </c>
      <c r="H6" s="27" t="s">
        <v>118</v>
      </c>
    </row>
    <row r="7" spans="1:8" x14ac:dyDescent="0.2">
      <c r="A7">
        <v>0</v>
      </c>
      <c r="B7">
        <v>533315</v>
      </c>
    </row>
    <row r="8" spans="1:8" x14ac:dyDescent="0.2">
      <c r="A8">
        <v>100</v>
      </c>
      <c r="B8">
        <v>198668</v>
      </c>
    </row>
    <row r="9" spans="1:8" x14ac:dyDescent="0.2">
      <c r="A9">
        <v>250</v>
      </c>
      <c r="B9">
        <v>135689</v>
      </c>
    </row>
    <row r="10" spans="1:8" x14ac:dyDescent="0.2">
      <c r="A10">
        <v>500</v>
      </c>
      <c r="B10">
        <v>66101</v>
      </c>
    </row>
    <row r="11" spans="1:8" x14ac:dyDescent="0.2">
      <c r="A11">
        <v>750</v>
      </c>
      <c r="B11">
        <v>39746</v>
      </c>
    </row>
    <row r="12" spans="1:8" x14ac:dyDescent="0.2">
      <c r="A12">
        <v>1000</v>
      </c>
      <c r="B12">
        <v>88779</v>
      </c>
    </row>
    <row r="13" spans="1:8" x14ac:dyDescent="0.2">
      <c r="A13">
        <v>2500</v>
      </c>
      <c r="B13">
        <v>37593</v>
      </c>
    </row>
    <row r="14" spans="1:8" x14ac:dyDescent="0.2">
      <c r="A14">
        <v>5000</v>
      </c>
      <c r="B14">
        <v>18176</v>
      </c>
      <c r="C14" s="35">
        <f t="shared" ref="C14:C20" si="0">C15+B14</f>
        <v>30624</v>
      </c>
      <c r="D14">
        <v>1380208</v>
      </c>
      <c r="E14" s="32">
        <f>C14/D14*100</f>
        <v>2.2187960075582809</v>
      </c>
      <c r="F14">
        <f>125229936+F15</f>
        <v>476707698</v>
      </c>
      <c r="G14">
        <v>918090197</v>
      </c>
      <c r="H14" s="32">
        <f>F14/G14*100</f>
        <v>51.923841421868488</v>
      </c>
    </row>
    <row r="15" spans="1:8" x14ac:dyDescent="0.2">
      <c r="A15">
        <v>10000</v>
      </c>
      <c r="B15">
        <v>5313</v>
      </c>
      <c r="C15" s="35">
        <f t="shared" si="0"/>
        <v>12448</v>
      </c>
      <c r="D15">
        <v>1380208</v>
      </c>
      <c r="E15" s="32">
        <f t="shared" ref="E15:E21" si="1">C15/D15*100</f>
        <v>0.90189304800435877</v>
      </c>
      <c r="F15">
        <f>64180648+F16</f>
        <v>351477762</v>
      </c>
      <c r="G15">
        <v>918090197</v>
      </c>
      <c r="H15" s="32">
        <f t="shared" ref="H15:H21" si="2">F15/G15*100</f>
        <v>38.283576401153965</v>
      </c>
    </row>
    <row r="16" spans="1:8" x14ac:dyDescent="0.2">
      <c r="A16">
        <v>15000</v>
      </c>
      <c r="B16">
        <v>2366</v>
      </c>
      <c r="C16" s="35">
        <f t="shared" si="0"/>
        <v>7135</v>
      </c>
      <c r="D16">
        <v>1380208</v>
      </c>
      <c r="E16" s="32">
        <f t="shared" si="1"/>
        <v>0.5169510682447862</v>
      </c>
      <c r="F16">
        <f>40752518+F17</f>
        <v>287297114</v>
      </c>
      <c r="G16">
        <v>918090197</v>
      </c>
      <c r="H16" s="32">
        <f t="shared" si="2"/>
        <v>31.292907269763603</v>
      </c>
    </row>
    <row r="17" spans="1:21" x14ac:dyDescent="0.2">
      <c r="A17">
        <v>20000</v>
      </c>
      <c r="B17">
        <v>1283</v>
      </c>
      <c r="C17" s="35">
        <f t="shared" si="0"/>
        <v>4769</v>
      </c>
      <c r="D17">
        <v>1380208</v>
      </c>
      <c r="E17" s="32">
        <f t="shared" si="1"/>
        <v>0.3455276306179938</v>
      </c>
      <c r="F17">
        <f>28770393+F18</f>
        <v>246544596</v>
      </c>
      <c r="G17">
        <v>918090197</v>
      </c>
      <c r="H17" s="32">
        <f t="shared" si="2"/>
        <v>26.854071289032618</v>
      </c>
    </row>
    <row r="18" spans="1:21" x14ac:dyDescent="0.2">
      <c r="A18">
        <v>25000</v>
      </c>
      <c r="B18">
        <v>2179</v>
      </c>
      <c r="C18" s="35">
        <f t="shared" si="0"/>
        <v>3486</v>
      </c>
      <c r="D18">
        <v>1380208</v>
      </c>
      <c r="E18" s="32">
        <f t="shared" si="1"/>
        <v>0.25257062703592503</v>
      </c>
      <c r="F18">
        <f>74371012+F19</f>
        <v>217774203</v>
      </c>
      <c r="G18">
        <v>918090197</v>
      </c>
      <c r="H18" s="32">
        <f t="shared" si="2"/>
        <v>23.720349450588895</v>
      </c>
    </row>
    <row r="19" spans="1:21" x14ac:dyDescent="0.2">
      <c r="A19">
        <v>50000</v>
      </c>
      <c r="B19">
        <v>641</v>
      </c>
      <c r="C19" s="35">
        <f t="shared" si="0"/>
        <v>1307</v>
      </c>
      <c r="D19">
        <v>1380208</v>
      </c>
      <c r="E19" s="32">
        <f t="shared" si="1"/>
        <v>9.4695871926550199E-2</v>
      </c>
      <c r="F19">
        <f>38955747+F20</f>
        <v>143403191</v>
      </c>
      <c r="G19">
        <v>918090197</v>
      </c>
      <c r="H19" s="32">
        <f t="shared" si="2"/>
        <v>15.619727938343294</v>
      </c>
    </row>
    <row r="20" spans="1:21" x14ac:dyDescent="0.2">
      <c r="A20">
        <v>75000</v>
      </c>
      <c r="B20">
        <v>249</v>
      </c>
      <c r="C20" s="35">
        <f t="shared" si="0"/>
        <v>666</v>
      </c>
      <c r="D20">
        <v>1380208</v>
      </c>
      <c r="E20" s="32">
        <f t="shared" si="1"/>
        <v>4.8253596559359173E-2</v>
      </c>
      <c r="F20">
        <f>21379702+F21</f>
        <v>104447444</v>
      </c>
      <c r="G20">
        <v>918090197</v>
      </c>
      <c r="H20" s="32">
        <f t="shared" si="2"/>
        <v>11.376599417061415</v>
      </c>
    </row>
    <row r="21" spans="1:21" x14ac:dyDescent="0.2">
      <c r="A21" t="s">
        <v>16</v>
      </c>
      <c r="B21">
        <v>417</v>
      </c>
      <c r="C21" s="35">
        <f>B21</f>
        <v>417</v>
      </c>
      <c r="D21">
        <v>1380208</v>
      </c>
      <c r="E21">
        <f t="shared" si="1"/>
        <v>3.0212837485364522E-2</v>
      </c>
      <c r="F21">
        <v>83067742</v>
      </c>
      <c r="G21">
        <v>918090197</v>
      </c>
      <c r="H21">
        <f t="shared" si="2"/>
        <v>9.0478846491811531</v>
      </c>
    </row>
    <row r="22" spans="1:21" x14ac:dyDescent="0.2">
      <c r="A22" t="s">
        <v>3</v>
      </c>
      <c r="B22">
        <f>SUM(B7:B21)</f>
        <v>1130515</v>
      </c>
      <c r="C22" s="34"/>
      <c r="F22">
        <v>918090197</v>
      </c>
      <c r="G22">
        <v>918090197</v>
      </c>
    </row>
    <row r="24" spans="1:21" ht="15" x14ac:dyDescent="0.25">
      <c r="A24" s="2" t="s">
        <v>24</v>
      </c>
      <c r="B24" s="2"/>
    </row>
    <row r="25" spans="1:21" x14ac:dyDescent="0.2">
      <c r="G25" t="s">
        <v>25</v>
      </c>
    </row>
    <row r="27" spans="1:21" ht="15" x14ac:dyDescent="0.25">
      <c r="A27" t="s">
        <v>26</v>
      </c>
      <c r="B27" s="2" t="s">
        <v>27</v>
      </c>
      <c r="C27" t="s">
        <v>28</v>
      </c>
      <c r="D27" t="s">
        <v>29</v>
      </c>
      <c r="E27" t="s">
        <v>30</v>
      </c>
      <c r="F27" t="s">
        <v>31</v>
      </c>
      <c r="G27" t="s">
        <v>32</v>
      </c>
      <c r="H27" t="s">
        <v>33</v>
      </c>
      <c r="I27" t="s">
        <v>34</v>
      </c>
      <c r="J27" t="s">
        <v>35</v>
      </c>
      <c r="K27" s="2" t="s">
        <v>36</v>
      </c>
      <c r="L27" s="2" t="s">
        <v>37</v>
      </c>
      <c r="M27" s="5" t="s">
        <v>38</v>
      </c>
      <c r="N27" s="2" t="s">
        <v>39</v>
      </c>
      <c r="O27" s="5" t="s">
        <v>40</v>
      </c>
      <c r="P27" s="2" t="s">
        <v>41</v>
      </c>
      <c r="Q27" s="5" t="s">
        <v>42</v>
      </c>
      <c r="R27" s="2" t="s">
        <v>43</v>
      </c>
      <c r="S27" s="36" t="s">
        <v>116</v>
      </c>
      <c r="T27" s="2"/>
      <c r="U27" s="2"/>
    </row>
    <row r="28" spans="1:21" x14ac:dyDescent="0.2">
      <c r="A28" t="s">
        <v>16</v>
      </c>
      <c r="S28" s="32"/>
    </row>
    <row r="29" spans="1:21" ht="15" x14ac:dyDescent="0.25">
      <c r="A29" t="s">
        <v>110</v>
      </c>
      <c r="B29" s="6">
        <v>5.0000000000000001E-4</v>
      </c>
      <c r="C29">
        <f>E21/100</f>
        <v>3.0212837485364523E-4</v>
      </c>
      <c r="D29">
        <f>E20/100</f>
        <v>4.8253596559359171E-4</v>
      </c>
      <c r="E29">
        <v>100000</v>
      </c>
      <c r="F29">
        <v>75000</v>
      </c>
      <c r="G29">
        <f>D29/C29</f>
        <v>1.5971223021582737</v>
      </c>
      <c r="H29">
        <f>LN(G29)</f>
        <v>0.46820344874158787</v>
      </c>
      <c r="I29">
        <f>E29/F29</f>
        <v>1.3333333333333333</v>
      </c>
      <c r="J29">
        <f>LN(I29)</f>
        <v>0.28768207245178085</v>
      </c>
      <c r="K29">
        <f>H29/J29</f>
        <v>1.6275030444243781</v>
      </c>
      <c r="L29">
        <f>F29*((D29)^(1/K29))</f>
        <v>687.53577150570334</v>
      </c>
      <c r="M29">
        <f>POWER(B29,1/K29)</f>
        <v>9.3696022436366953E-3</v>
      </c>
      <c r="N29">
        <f>L29/M29</f>
        <v>73379.397932568463</v>
      </c>
      <c r="O29">
        <v>1380208</v>
      </c>
      <c r="P29">
        <f>O29*(K29/(1-K29))*POWER(L29,K29)*(-1)*POWER(N29,1-K29)</f>
        <v>131339289.09252471</v>
      </c>
      <c r="Q29">
        <f>O29*B29</f>
        <v>690.10400000000004</v>
      </c>
      <c r="R29">
        <f>P29/Q29</f>
        <v>190318.11015806993</v>
      </c>
      <c r="S29" s="32">
        <f>P29/G16*100</f>
        <v>14.305706511375016</v>
      </c>
    </row>
    <row r="30" spans="1:21" ht="15" x14ac:dyDescent="0.25">
      <c r="A30" t="s">
        <v>111</v>
      </c>
      <c r="B30" s="6">
        <v>1E-3</v>
      </c>
      <c r="C30">
        <f>E20/100</f>
        <v>4.8253596559359171E-4</v>
      </c>
      <c r="D30">
        <f>E19/100</f>
        <v>9.46958719265502E-4</v>
      </c>
      <c r="E30">
        <v>75000</v>
      </c>
      <c r="F30">
        <v>50000</v>
      </c>
      <c r="G30">
        <f>D30/C30</f>
        <v>1.9624624624624623</v>
      </c>
      <c r="H30">
        <f>LN(G30)</f>
        <v>0.67420004308383275</v>
      </c>
      <c r="I30">
        <f>E30/F30</f>
        <v>1.5</v>
      </c>
      <c r="J30">
        <f>LN(I30)</f>
        <v>0.40546510810816438</v>
      </c>
      <c r="K30">
        <f>H30/J30</f>
        <v>1.6627819005919962</v>
      </c>
      <c r="L30">
        <f>F30*((D30)^(1/K30))</f>
        <v>759.50406827246445</v>
      </c>
      <c r="M30">
        <f>POWER(B30,1/K30)</f>
        <v>1.5696204580463852E-2</v>
      </c>
      <c r="N30">
        <f>L30/M30</f>
        <v>48387.752872294666</v>
      </c>
      <c r="O30">
        <v>1380208</v>
      </c>
      <c r="P30">
        <f>O30*(K30/(1-K30))*POWER(L30,K30)*(-1)*POWER(N30,1-K30)+P29</f>
        <v>298889370.3336935</v>
      </c>
      <c r="Q30">
        <f>O30*B30</f>
        <v>1380.2080000000001</v>
      </c>
      <c r="R30">
        <f>P30/Q30</f>
        <v>216553.8602396838</v>
      </c>
      <c r="S30" s="32">
        <f>P30/G17*100</f>
        <v>32.555556230788675</v>
      </c>
    </row>
    <row r="31" spans="1:21" ht="15" x14ac:dyDescent="0.25">
      <c r="A31" t="s">
        <v>112</v>
      </c>
      <c r="B31" s="6">
        <v>2.5000000000000001E-3</v>
      </c>
      <c r="C31">
        <f>E19/100</f>
        <v>9.46958719265502E-4</v>
      </c>
      <c r="D31">
        <f>E18/100</f>
        <v>2.5257062703592501E-3</v>
      </c>
      <c r="E31">
        <v>50000</v>
      </c>
      <c r="F31">
        <v>25000</v>
      </c>
      <c r="G31">
        <f>D31/C31</f>
        <v>2.667176740627391</v>
      </c>
      <c r="H31">
        <f>LN(G31)</f>
        <v>0.98102051245574429</v>
      </c>
      <c r="I31">
        <f>E31/F31</f>
        <v>2</v>
      </c>
      <c r="J31">
        <f>LN(I31)</f>
        <v>0.69314718055994529</v>
      </c>
      <c r="K31">
        <f>H31/J31</f>
        <v>1.415313428330252</v>
      </c>
      <c r="L31">
        <f>F31*((D31)^(1/K31))</f>
        <v>365.23694949437794</v>
      </c>
      <c r="M31">
        <f>POWER(B31,1/K31)</f>
        <v>1.4504260181540649E-2</v>
      </c>
      <c r="N31">
        <f>L31/M31</f>
        <v>25181.356713333746</v>
      </c>
      <c r="O31">
        <v>1380208</v>
      </c>
      <c r="P31">
        <f>O31*(K31/(1-K31))*POWER(L31,K31)*(-1)*POWER(N31,1-K31)+P30</f>
        <v>594990679.83301973</v>
      </c>
      <c r="Q31">
        <f>O31*B31</f>
        <v>3450.52</v>
      </c>
      <c r="R31">
        <f>P31/Q31</f>
        <v>172435.07640385209</v>
      </c>
      <c r="S31" s="32">
        <f>P31/G18*100</f>
        <v>64.80743196880249</v>
      </c>
    </row>
    <row r="32" spans="1:21" ht="15" x14ac:dyDescent="0.25">
      <c r="A32" t="s">
        <v>95</v>
      </c>
      <c r="B32" s="6"/>
      <c r="S32" s="32"/>
    </row>
    <row r="33" spans="1:19" ht="15" x14ac:dyDescent="0.25">
      <c r="A33" t="s">
        <v>98</v>
      </c>
      <c r="B33" s="6">
        <v>5.0000000000000001E-3</v>
      </c>
      <c r="C33">
        <f>E17/100</f>
        <v>3.4552763061799379E-3</v>
      </c>
      <c r="D33">
        <f>E16/100</f>
        <v>5.1695106824478617E-3</v>
      </c>
      <c r="E33">
        <v>20000</v>
      </c>
      <c r="F33">
        <v>15000</v>
      </c>
      <c r="G33">
        <f>D33/C33</f>
        <v>1.4961207800377434</v>
      </c>
      <c r="H33">
        <f>LN(G33)</f>
        <v>0.40287561161271218</v>
      </c>
      <c r="I33">
        <f>E33/F33</f>
        <v>1.3333333333333333</v>
      </c>
      <c r="J33">
        <f>LN(I33)</f>
        <v>0.28768207245178085</v>
      </c>
      <c r="K33">
        <f>H33/J33</f>
        <v>1.4004195957683085</v>
      </c>
      <c r="L33">
        <f>F33*((D33)^(1/K33))</f>
        <v>349.40588370097964</v>
      </c>
      <c r="M33">
        <f>POWER(B33,1/K33)</f>
        <v>2.2745715442193983E-2</v>
      </c>
      <c r="N33">
        <f>L33/M33</f>
        <v>15361.393427652809</v>
      </c>
      <c r="O33">
        <v>1380208</v>
      </c>
      <c r="P33">
        <f>O33*(K33/(1-K33))*POWER(L33,K33)*(-1)*POWER(N33,1-K33)+P31</f>
        <v>965746530.55674851</v>
      </c>
      <c r="Q33">
        <f>O33*B33</f>
        <v>6901.04</v>
      </c>
      <c r="R33">
        <f>P33/Q33</f>
        <v>139942.17256482336</v>
      </c>
      <c r="S33" s="32">
        <f>P33/G20*100</f>
        <v>105.19081172116562</v>
      </c>
    </row>
    <row r="34" spans="1:19" ht="15" x14ac:dyDescent="0.25">
      <c r="A34" t="s">
        <v>96</v>
      </c>
      <c r="B34" s="6">
        <v>0.01</v>
      </c>
      <c r="C34">
        <f>E16/100</f>
        <v>5.1695106824478617E-3</v>
      </c>
      <c r="D34">
        <f>E15/100</f>
        <v>9.0189304800435879E-3</v>
      </c>
      <c r="E34">
        <v>15000</v>
      </c>
      <c r="F34">
        <v>10000</v>
      </c>
      <c r="G34">
        <f>D34/C34</f>
        <v>1.744639103013315</v>
      </c>
      <c r="H34">
        <f>LN(G34)</f>
        <v>0.55654771650723622</v>
      </c>
      <c r="I34">
        <f>E34/F34</f>
        <v>1.5</v>
      </c>
      <c r="J34">
        <f>LN(I34)</f>
        <v>0.40546510810816438</v>
      </c>
      <c r="K34">
        <f>H34/J34</f>
        <v>1.3726155601994934</v>
      </c>
      <c r="L34">
        <f>F34*((D34)^(1/K34))</f>
        <v>323.78491246822335</v>
      </c>
      <c r="M34">
        <f>POWER(B34,1/K34)</f>
        <v>3.490822617037595E-2</v>
      </c>
      <c r="N34">
        <f>L34/M34</f>
        <v>9275.3183988190103</v>
      </c>
      <c r="O34">
        <v>1380208</v>
      </c>
      <c r="P34">
        <f>O34*(K34/(1-K34))*POWER(L34,K34)*(-1)*POWER(N34,1-K34)+P33</f>
        <v>1437332958.8923678</v>
      </c>
      <c r="Q34">
        <f>O34*B34</f>
        <v>13802.08</v>
      </c>
      <c r="R34">
        <f>P34/Q34</f>
        <v>104138.86594573918</v>
      </c>
      <c r="S34" s="32">
        <f>P34/G21*100</f>
        <v>156.55683543829056</v>
      </c>
    </row>
    <row r="35" spans="1:19" ht="15" x14ac:dyDescent="0.25">
      <c r="A35" t="s">
        <v>101</v>
      </c>
      <c r="B35" s="6">
        <v>0.02</v>
      </c>
      <c r="C35">
        <f>E15/100</f>
        <v>9.0189304800435879E-3</v>
      </c>
      <c r="D35">
        <f>E14/100</f>
        <v>2.218796007558281E-2</v>
      </c>
      <c r="E35">
        <v>10000</v>
      </c>
      <c r="F35">
        <v>5000</v>
      </c>
      <c r="G35">
        <f>D35/C35</f>
        <v>2.460154241645244</v>
      </c>
      <c r="H35">
        <f>LN(G35)</f>
        <v>0.90022404783450782</v>
      </c>
      <c r="I35">
        <f>E35/F35</f>
        <v>2</v>
      </c>
      <c r="J35">
        <f>LN(I35)</f>
        <v>0.69314718055994529</v>
      </c>
      <c r="K35">
        <f>H35/J35</f>
        <v>1.2987487694998334</v>
      </c>
      <c r="L35">
        <f>F35*((D35)^(1/K35))</f>
        <v>266.39552872501827</v>
      </c>
      <c r="M35">
        <f>POWER(B35,1/K35)</f>
        <v>4.9185932920817334E-2</v>
      </c>
      <c r="N35">
        <f>L35/M35</f>
        <v>5416.0918153952443</v>
      </c>
      <c r="O35">
        <v>1380208</v>
      </c>
      <c r="P35">
        <f>O35*(K35/(1-K35))*POWER(L35,K35)*(-1)*POWER(N35,1-K35)+P34</f>
        <v>2087282404.9996014</v>
      </c>
      <c r="Q35">
        <f>O35*B35</f>
        <v>27604.16</v>
      </c>
      <c r="R35">
        <f>P35/Q35</f>
        <v>75614.777084309084</v>
      </c>
      <c r="S35" s="32">
        <f>P35/G22*100</f>
        <v>227.35047295136312</v>
      </c>
    </row>
    <row r="39" spans="1:19" ht="15.75" x14ac:dyDescent="0.25">
      <c r="A39" s="1" t="s">
        <v>51</v>
      </c>
      <c r="B39" s="1"/>
    </row>
    <row r="41" spans="1:19" ht="15" x14ac:dyDescent="0.25">
      <c r="A41" s="2" t="s">
        <v>18</v>
      </c>
      <c r="B41" s="2"/>
    </row>
    <row r="44" spans="1:19" x14ac:dyDescent="0.2">
      <c r="A44" t="s">
        <v>0</v>
      </c>
      <c r="B44" t="s">
        <v>120</v>
      </c>
      <c r="C44" t="s">
        <v>117</v>
      </c>
      <c r="D44" t="s">
        <v>115</v>
      </c>
      <c r="E44" t="s">
        <v>23</v>
      </c>
      <c r="F44" t="s">
        <v>119</v>
      </c>
      <c r="G44" t="s">
        <v>41</v>
      </c>
      <c r="H44" s="27" t="s">
        <v>118</v>
      </c>
    </row>
    <row r="45" spans="1:19" x14ac:dyDescent="0.2">
      <c r="A45">
        <v>0</v>
      </c>
      <c r="B45">
        <v>392146</v>
      </c>
      <c r="F45" s="33"/>
    </row>
    <row r="46" spans="1:19" x14ac:dyDescent="0.2">
      <c r="A46">
        <v>100</v>
      </c>
      <c r="B46">
        <v>115846</v>
      </c>
      <c r="F46" s="33"/>
    </row>
    <row r="47" spans="1:19" x14ac:dyDescent="0.2">
      <c r="A47">
        <v>250</v>
      </c>
      <c r="B47">
        <v>76772</v>
      </c>
      <c r="F47" s="33"/>
    </row>
    <row r="48" spans="1:19" x14ac:dyDescent="0.2">
      <c r="A48">
        <v>500</v>
      </c>
      <c r="B48">
        <v>35895</v>
      </c>
      <c r="C48">
        <f t="shared" ref="C48:C57" si="3">B48+C49</f>
        <v>116937</v>
      </c>
      <c r="D48">
        <v>811737</v>
      </c>
      <c r="E48">
        <f>C48/D48*100</f>
        <v>14.405774284035347</v>
      </c>
      <c r="F48" s="33">
        <f>21696178+F49</f>
        <v>241752983</v>
      </c>
      <c r="G48">
        <v>298141465</v>
      </c>
      <c r="H48">
        <f>F48/G48*100</f>
        <v>81.086669041490083</v>
      </c>
    </row>
    <row r="49" spans="1:11" x14ac:dyDescent="0.2">
      <c r="A49">
        <v>750</v>
      </c>
      <c r="B49">
        <v>19905</v>
      </c>
      <c r="C49">
        <f t="shared" si="3"/>
        <v>81042</v>
      </c>
      <c r="D49">
        <v>811737</v>
      </c>
      <c r="E49">
        <f t="shared" ref="E49:E59" si="4">C49/D49*100</f>
        <v>9.9837755332084157</v>
      </c>
      <c r="F49" s="33">
        <f>17164250+F50</f>
        <v>220056805</v>
      </c>
      <c r="G49">
        <v>298141465</v>
      </c>
      <c r="H49">
        <f t="shared" ref="H49:H59" si="5">F49/G49*100</f>
        <v>73.809526963986698</v>
      </c>
    </row>
    <row r="50" spans="1:11" x14ac:dyDescent="0.2">
      <c r="A50">
        <v>1000</v>
      </c>
      <c r="B50">
        <v>40336</v>
      </c>
      <c r="C50">
        <f t="shared" si="3"/>
        <v>61137</v>
      </c>
      <c r="D50">
        <v>811737</v>
      </c>
      <c r="E50">
        <f t="shared" si="4"/>
        <v>7.5316266229086519</v>
      </c>
      <c r="F50" s="33">
        <f>61609345+F51</f>
        <v>202892555</v>
      </c>
      <c r="G50">
        <v>298141465</v>
      </c>
      <c r="H50">
        <f t="shared" si="5"/>
        <v>68.052444499794746</v>
      </c>
    </row>
    <row r="51" spans="1:11" x14ac:dyDescent="0.2">
      <c r="A51">
        <v>2500</v>
      </c>
      <c r="B51">
        <v>12885</v>
      </c>
      <c r="C51">
        <f t="shared" si="3"/>
        <v>20801</v>
      </c>
      <c r="D51">
        <v>811737</v>
      </c>
      <c r="E51" s="32">
        <f t="shared" si="4"/>
        <v>2.5625294892311179</v>
      </c>
      <c r="F51" s="33">
        <f>44097969+F52</f>
        <v>141283210</v>
      </c>
      <c r="G51">
        <v>298141465</v>
      </c>
      <c r="H51" s="32">
        <f t="shared" si="5"/>
        <v>47.387977381811012</v>
      </c>
      <c r="K51" s="37"/>
    </row>
    <row r="52" spans="1:11" x14ac:dyDescent="0.2">
      <c r="A52">
        <v>5000</v>
      </c>
      <c r="B52">
        <v>5183</v>
      </c>
      <c r="C52">
        <f t="shared" si="3"/>
        <v>7916</v>
      </c>
      <c r="D52">
        <v>811737</v>
      </c>
      <c r="E52" s="32">
        <f t="shared" si="4"/>
        <v>0.9751927040408408</v>
      </c>
      <c r="F52" s="33">
        <f>35341151+F53</f>
        <v>97185241</v>
      </c>
      <c r="G52">
        <v>298141465</v>
      </c>
      <c r="H52" s="32">
        <f t="shared" si="5"/>
        <v>32.597022691895603</v>
      </c>
      <c r="K52" s="37"/>
    </row>
    <row r="53" spans="1:11" x14ac:dyDescent="0.2">
      <c r="A53">
        <v>10000</v>
      </c>
      <c r="B53">
        <v>1362</v>
      </c>
      <c r="C53">
        <f t="shared" si="3"/>
        <v>2733</v>
      </c>
      <c r="D53">
        <v>811737</v>
      </c>
      <c r="E53" s="32">
        <f t="shared" si="4"/>
        <v>0.33668540426271071</v>
      </c>
      <c r="F53" s="33">
        <f>16431170+F54</f>
        <v>61844090</v>
      </c>
      <c r="G53">
        <v>298141465</v>
      </c>
      <c r="H53" s="32">
        <f t="shared" si="5"/>
        <v>20.743203230721363</v>
      </c>
      <c r="K53" s="37"/>
    </row>
    <row r="54" spans="1:11" x14ac:dyDescent="0.2">
      <c r="A54">
        <v>15000</v>
      </c>
      <c r="B54">
        <v>530</v>
      </c>
      <c r="C54">
        <f t="shared" si="3"/>
        <v>1371</v>
      </c>
      <c r="D54">
        <v>811737</v>
      </c>
      <c r="E54" s="32">
        <f t="shared" si="4"/>
        <v>0.16889706887822042</v>
      </c>
      <c r="F54" s="33">
        <f>9191428+F55</f>
        <v>45412920</v>
      </c>
      <c r="G54">
        <v>298141465</v>
      </c>
      <c r="H54" s="32">
        <f t="shared" si="5"/>
        <v>15.232004042107997</v>
      </c>
      <c r="K54" s="37"/>
    </row>
    <row r="55" spans="1:11" x14ac:dyDescent="0.2">
      <c r="A55">
        <v>20000</v>
      </c>
      <c r="B55">
        <v>279</v>
      </c>
      <c r="C55">
        <f t="shared" si="3"/>
        <v>841</v>
      </c>
      <c r="D55">
        <v>811737</v>
      </c>
      <c r="E55" s="32">
        <f t="shared" si="4"/>
        <v>0.10360498535855825</v>
      </c>
      <c r="F55" s="33">
        <f>6226123+F56</f>
        <v>36221492</v>
      </c>
      <c r="G55">
        <v>298141465</v>
      </c>
      <c r="H55" s="32">
        <f t="shared" si="5"/>
        <v>12.149095732121662</v>
      </c>
      <c r="K55" s="37"/>
    </row>
    <row r="56" spans="1:11" x14ac:dyDescent="0.2">
      <c r="A56">
        <v>25000</v>
      </c>
      <c r="B56">
        <v>406</v>
      </c>
      <c r="C56">
        <f t="shared" si="3"/>
        <v>562</v>
      </c>
      <c r="D56">
        <v>811737</v>
      </c>
      <c r="E56" s="32">
        <f t="shared" si="4"/>
        <v>6.9234247052924774E-2</v>
      </c>
      <c r="F56" s="33">
        <f>13771239+F57</f>
        <v>29995369</v>
      </c>
      <c r="G56">
        <v>298141465</v>
      </c>
      <c r="H56" s="32">
        <f t="shared" si="5"/>
        <v>10.060784064370248</v>
      </c>
      <c r="K56" s="37"/>
    </row>
    <row r="57" spans="1:11" x14ac:dyDescent="0.2">
      <c r="A57">
        <v>50000</v>
      </c>
      <c r="B57">
        <v>81</v>
      </c>
      <c r="C57">
        <f t="shared" si="3"/>
        <v>156</v>
      </c>
      <c r="D57">
        <v>811737</v>
      </c>
      <c r="E57" s="32">
        <f t="shared" si="4"/>
        <v>1.9218047224655276E-2</v>
      </c>
      <c r="F57" s="33">
        <f>4926254+F58</f>
        <v>16224130</v>
      </c>
      <c r="G57">
        <v>298141465</v>
      </c>
      <c r="H57" s="32">
        <f t="shared" si="5"/>
        <v>5.4417556444220194</v>
      </c>
      <c r="K57" s="37"/>
    </row>
    <row r="58" spans="1:11" x14ac:dyDescent="0.2">
      <c r="A58">
        <v>75000</v>
      </c>
      <c r="B58">
        <v>26</v>
      </c>
      <c r="C58">
        <f>C59+B58</f>
        <v>75</v>
      </c>
      <c r="D58">
        <v>811737</v>
      </c>
      <c r="E58">
        <f t="shared" si="4"/>
        <v>9.2394457810842674E-3</v>
      </c>
      <c r="F58" s="33">
        <f>2240902+F59</f>
        <v>11297876</v>
      </c>
      <c r="G58">
        <v>298141465</v>
      </c>
      <c r="H58">
        <f t="shared" si="5"/>
        <v>3.7894346564641723</v>
      </c>
      <c r="K58" s="37"/>
    </row>
    <row r="59" spans="1:11" x14ac:dyDescent="0.2">
      <c r="A59" t="s">
        <v>16</v>
      </c>
      <c r="B59">
        <v>49</v>
      </c>
      <c r="C59">
        <f>B59</f>
        <v>49</v>
      </c>
      <c r="D59">
        <v>811737</v>
      </c>
      <c r="E59">
        <f t="shared" si="4"/>
        <v>6.0364379103083881E-3</v>
      </c>
      <c r="F59" s="33">
        <v>9056974</v>
      </c>
      <c r="G59">
        <v>298141465</v>
      </c>
      <c r="H59">
        <f t="shared" si="5"/>
        <v>3.037810926433866</v>
      </c>
      <c r="K59" s="37"/>
    </row>
    <row r="60" spans="1:11" x14ac:dyDescent="0.2">
      <c r="A60" t="s">
        <v>3</v>
      </c>
    </row>
    <row r="62" spans="1:11" ht="15" x14ac:dyDescent="0.25">
      <c r="A62" s="2" t="s">
        <v>24</v>
      </c>
      <c r="B62" s="2"/>
    </row>
    <row r="63" spans="1:11" x14ac:dyDescent="0.2">
      <c r="G63" t="s">
        <v>25</v>
      </c>
    </row>
    <row r="65" spans="1:21" ht="15" x14ac:dyDescent="0.25">
      <c r="A65" t="s">
        <v>26</v>
      </c>
      <c r="B65" s="2" t="s">
        <v>27</v>
      </c>
      <c r="C65" t="s">
        <v>28</v>
      </c>
      <c r="D65" t="s">
        <v>29</v>
      </c>
      <c r="E65" t="s">
        <v>30</v>
      </c>
      <c r="F65" t="s">
        <v>31</v>
      </c>
      <c r="G65" t="s">
        <v>32</v>
      </c>
      <c r="H65" t="s">
        <v>33</v>
      </c>
      <c r="I65" t="s">
        <v>34</v>
      </c>
      <c r="J65" t="s">
        <v>35</v>
      </c>
      <c r="K65" s="2" t="s">
        <v>36</v>
      </c>
      <c r="L65" s="2" t="s">
        <v>37</v>
      </c>
      <c r="M65" s="5" t="s">
        <v>38</v>
      </c>
      <c r="N65" s="2" t="s">
        <v>39</v>
      </c>
      <c r="O65" s="5" t="s">
        <v>40</v>
      </c>
      <c r="P65" s="2" t="s">
        <v>41</v>
      </c>
      <c r="Q65" s="5" t="s">
        <v>42</v>
      </c>
      <c r="R65" s="2" t="s">
        <v>43</v>
      </c>
      <c r="S65" s="36" t="s">
        <v>116</v>
      </c>
      <c r="T65" s="2"/>
      <c r="U65" s="2"/>
    </row>
    <row r="66" spans="1:21" ht="15" x14ac:dyDescent="0.25">
      <c r="A66" t="s">
        <v>112</v>
      </c>
      <c r="B66" s="6">
        <v>5.0000000000000001E-4</v>
      </c>
      <c r="C66">
        <f>E57/100</f>
        <v>1.9218047224655276E-4</v>
      </c>
      <c r="D66">
        <f>E56/100</f>
        <v>6.9234247052924771E-4</v>
      </c>
      <c r="E66">
        <v>50000</v>
      </c>
      <c r="F66">
        <v>25000</v>
      </c>
      <c r="G66">
        <f t="shared" ref="G66:G71" si="6">D66/C66</f>
        <v>3.6025641025641022</v>
      </c>
      <c r="H66">
        <f t="shared" ref="H66:H71" si="7">LN(G66)</f>
        <v>1.2816458426441539</v>
      </c>
      <c r="I66">
        <f t="shared" ref="I66:I71" si="8">E66/F66</f>
        <v>2</v>
      </c>
      <c r="J66">
        <f t="shared" ref="J66:J71" si="9">LN(I66)</f>
        <v>0.69314718055994529</v>
      </c>
      <c r="K66">
        <f t="shared" ref="K66:K71" si="10">H66/J66</f>
        <v>1.8490241013586777</v>
      </c>
      <c r="L66">
        <f t="shared" ref="L66:L71" si="11">F66*((D66)^(1/K66))</f>
        <v>488.76935310040949</v>
      </c>
      <c r="M66">
        <f t="shared" ref="M66:M71" si="12">POWER(B66,1/K66)</f>
        <v>1.6395237136590364E-2</v>
      </c>
      <c r="N66">
        <f t="shared" ref="N66:N71" si="13">L66/M66</f>
        <v>29811.667195077633</v>
      </c>
      <c r="O66">
        <v>811737</v>
      </c>
      <c r="P66">
        <f>O66*(K66/(1-K66))*POWER(L66,K66)*(-1)*POWER(N66,1-K66)</f>
        <v>26350821.798388716</v>
      </c>
      <c r="Q66">
        <f t="shared" ref="Q66:Q71" si="14">B66*O66</f>
        <v>405.86849999999998</v>
      </c>
      <c r="R66">
        <f t="shared" ref="R66:R71" si="15">P66/Q66</f>
        <v>64924.530478193592</v>
      </c>
      <c r="S66" s="32">
        <f t="shared" ref="S66:S71" si="16">P66/G48*100</f>
        <v>8.8383619495492578</v>
      </c>
    </row>
    <row r="67" spans="1:21" ht="15" x14ac:dyDescent="0.25">
      <c r="A67" t="s">
        <v>95</v>
      </c>
      <c r="B67" s="6">
        <v>1E-3</v>
      </c>
      <c r="C67">
        <f>E56/100</f>
        <v>6.9234247052924771E-4</v>
      </c>
      <c r="D67">
        <f>E55/100</f>
        <v>1.0360498535855825E-3</v>
      </c>
      <c r="E67">
        <v>25000</v>
      </c>
      <c r="F67">
        <v>20000</v>
      </c>
      <c r="G67">
        <f t="shared" si="6"/>
        <v>1.4964412811387902</v>
      </c>
      <c r="H67">
        <f t="shared" si="7"/>
        <v>0.40308981007925704</v>
      </c>
      <c r="I67">
        <f t="shared" si="8"/>
        <v>1.25</v>
      </c>
      <c r="J67">
        <f t="shared" si="9"/>
        <v>0.22314355131420976</v>
      </c>
      <c r="K67">
        <f t="shared" si="10"/>
        <v>1.8064147841389504</v>
      </c>
      <c r="L67">
        <f t="shared" si="11"/>
        <v>445.44728444514971</v>
      </c>
      <c r="M67">
        <f t="shared" si="12"/>
        <v>2.1839960875443275E-2</v>
      </c>
      <c r="N67">
        <f t="shared" si="13"/>
        <v>20395.974470174442</v>
      </c>
      <c r="O67">
        <v>811737</v>
      </c>
      <c r="P67">
        <f>O67*(K67/(1-K67))*POWER(L67,K67)*(-1)*POWER(N67,1-K67)+P66</f>
        <v>63437573.750145152</v>
      </c>
      <c r="Q67">
        <f t="shared" si="14"/>
        <v>811.73699999999997</v>
      </c>
      <c r="R67">
        <f t="shared" si="15"/>
        <v>78150.403086400096</v>
      </c>
      <c r="S67" s="32">
        <f t="shared" si="16"/>
        <v>21.277675599449125</v>
      </c>
    </row>
    <row r="68" spans="1:21" ht="15" x14ac:dyDescent="0.25">
      <c r="A68" t="s">
        <v>96</v>
      </c>
      <c r="B68" s="6">
        <v>2.5000000000000001E-3</v>
      </c>
      <c r="C68">
        <f>E54/100</f>
        <v>1.6889706887822042E-3</v>
      </c>
      <c r="D68">
        <f>E53/100</f>
        <v>3.366854042627107E-3</v>
      </c>
      <c r="E68">
        <v>15000</v>
      </c>
      <c r="F68">
        <v>10000</v>
      </c>
      <c r="G68">
        <f t="shared" si="6"/>
        <v>1.9934354485776804</v>
      </c>
      <c r="H68">
        <f t="shared" si="7"/>
        <v>0.68985950636575355</v>
      </c>
      <c r="I68">
        <f t="shared" si="8"/>
        <v>1.5</v>
      </c>
      <c r="J68">
        <f t="shared" si="9"/>
        <v>0.40546510810816438</v>
      </c>
      <c r="K68">
        <f t="shared" si="10"/>
        <v>1.7014028891031541</v>
      </c>
      <c r="L68">
        <f t="shared" si="11"/>
        <v>352.06708087221801</v>
      </c>
      <c r="M68">
        <f t="shared" si="12"/>
        <v>2.9555516202673229E-2</v>
      </c>
      <c r="N68">
        <f t="shared" si="13"/>
        <v>11912.059950432344</v>
      </c>
      <c r="O68">
        <v>811737</v>
      </c>
      <c r="P68">
        <f>O68*(K68/(1-K68))*POWER(L68,K68)*(-1)*POWER(N68,1-K68)+P67</f>
        <v>122075936.62603374</v>
      </c>
      <c r="Q68">
        <f t="shared" si="14"/>
        <v>2029.3425</v>
      </c>
      <c r="R68">
        <f t="shared" si="15"/>
        <v>60155.413207003621</v>
      </c>
      <c r="S68" s="32">
        <f t="shared" si="16"/>
        <v>40.945641903930984</v>
      </c>
    </row>
    <row r="69" spans="1:21" ht="15" x14ac:dyDescent="0.25">
      <c r="A69" t="s">
        <v>101</v>
      </c>
      <c r="B69" s="6">
        <v>5.0000000000000001E-3</v>
      </c>
      <c r="C69">
        <f>E53/100</f>
        <v>3.366854042627107E-3</v>
      </c>
      <c r="D69">
        <f>E52/100</f>
        <v>9.751927040408408E-3</v>
      </c>
      <c r="E69">
        <v>10000</v>
      </c>
      <c r="F69">
        <v>5000</v>
      </c>
      <c r="G69">
        <f t="shared" si="6"/>
        <v>2.8964507866813025</v>
      </c>
      <c r="H69">
        <f t="shared" si="7"/>
        <v>1.0634861207943882</v>
      </c>
      <c r="I69">
        <f t="shared" si="8"/>
        <v>2</v>
      </c>
      <c r="J69">
        <f t="shared" si="9"/>
        <v>0.69314718055994529</v>
      </c>
      <c r="K69">
        <f t="shared" si="10"/>
        <v>1.534286152524305</v>
      </c>
      <c r="L69">
        <f t="shared" si="11"/>
        <v>244.52411284104011</v>
      </c>
      <c r="M69">
        <f t="shared" si="12"/>
        <v>3.1641729079594019E-2</v>
      </c>
      <c r="N69">
        <f t="shared" si="13"/>
        <v>7727.8998320839391</v>
      </c>
      <c r="O69">
        <v>811737</v>
      </c>
      <c r="P69">
        <f>O69*(K69/(1-K69))*POWER(L69,K69)*(-1)*POWER(N69,1-K69)+P68</f>
        <v>212145753.05633628</v>
      </c>
      <c r="Q69">
        <f t="shared" si="14"/>
        <v>4058.6849999999999</v>
      </c>
      <c r="R69">
        <f t="shared" si="15"/>
        <v>52269.578214701629</v>
      </c>
      <c r="S69" s="32">
        <f t="shared" si="16"/>
        <v>71.156071181288482</v>
      </c>
    </row>
    <row r="70" spans="1:21" ht="15" x14ac:dyDescent="0.25">
      <c r="A70" t="s">
        <v>113</v>
      </c>
      <c r="B70" s="6">
        <v>0.01</v>
      </c>
      <c r="C70">
        <f>E52/100</f>
        <v>9.751927040408408E-3</v>
      </c>
      <c r="D70">
        <f>E51/100</f>
        <v>2.562529489231118E-2</v>
      </c>
      <c r="E70">
        <v>5000</v>
      </c>
      <c r="F70">
        <v>2500</v>
      </c>
      <c r="G70">
        <f t="shared" si="6"/>
        <v>2.6277160181910055</v>
      </c>
      <c r="H70">
        <f t="shared" si="7"/>
        <v>0.96611503473437166</v>
      </c>
      <c r="I70">
        <f t="shared" si="8"/>
        <v>2</v>
      </c>
      <c r="J70">
        <f t="shared" si="9"/>
        <v>0.69314718055994529</v>
      </c>
      <c r="K70">
        <f t="shared" si="10"/>
        <v>1.3938093695395466</v>
      </c>
      <c r="L70">
        <f t="shared" si="11"/>
        <v>180.39578995684099</v>
      </c>
      <c r="M70">
        <f t="shared" si="12"/>
        <v>3.6735296088416795E-2</v>
      </c>
      <c r="N70">
        <f t="shared" si="13"/>
        <v>4910.6937786115341</v>
      </c>
      <c r="O70">
        <v>811737</v>
      </c>
      <c r="P70">
        <f>O70*(K70/(1-K70))*POWER(L70,K70)*(-1)*POWER(N70,1-K70)+P69</f>
        <v>353229027.33121741</v>
      </c>
      <c r="Q70">
        <f t="shared" si="14"/>
        <v>8117.37</v>
      </c>
      <c r="R70">
        <f t="shared" si="15"/>
        <v>43515.205951092212</v>
      </c>
      <c r="S70" s="32">
        <f t="shared" si="16"/>
        <v>118.47698787259175</v>
      </c>
    </row>
    <row r="71" spans="1:21" ht="15" x14ac:dyDescent="0.25">
      <c r="A71" t="s">
        <v>113</v>
      </c>
      <c r="B71" s="6">
        <v>0.02</v>
      </c>
      <c r="C71">
        <f>E52/100</f>
        <v>9.751927040408408E-3</v>
      </c>
      <c r="D71">
        <f>E51/100</f>
        <v>2.562529489231118E-2</v>
      </c>
      <c r="E71">
        <v>5000</v>
      </c>
      <c r="F71">
        <v>2500</v>
      </c>
      <c r="G71">
        <f t="shared" si="6"/>
        <v>2.6277160181910055</v>
      </c>
      <c r="H71">
        <f t="shared" si="7"/>
        <v>0.96611503473437166</v>
      </c>
      <c r="I71">
        <f t="shared" si="8"/>
        <v>2</v>
      </c>
      <c r="J71">
        <f t="shared" si="9"/>
        <v>0.69314718055994529</v>
      </c>
      <c r="K71">
        <f t="shared" si="10"/>
        <v>1.3938093695395466</v>
      </c>
      <c r="L71">
        <f t="shared" si="11"/>
        <v>180.39578995684099</v>
      </c>
      <c r="M71">
        <f t="shared" si="12"/>
        <v>6.0403206232193953E-2</v>
      </c>
      <c r="N71">
        <f t="shared" si="13"/>
        <v>2986.5267294485584</v>
      </c>
      <c r="O71">
        <v>811737</v>
      </c>
      <c r="P71">
        <f>O71*(K71/(1-K71))*POWER(L71,K71)*(-1)*POWER(N71,1-K71)+P70</f>
        <v>524833687.97417378</v>
      </c>
      <c r="Q71">
        <f t="shared" si="14"/>
        <v>16234.74</v>
      </c>
      <c r="R71">
        <f t="shared" si="15"/>
        <v>32327.816027492514</v>
      </c>
      <c r="S71" s="32">
        <f t="shared" si="16"/>
        <v>176.03512076865047</v>
      </c>
    </row>
    <row r="72" spans="1:21" ht="15" x14ac:dyDescent="0.25">
      <c r="B72" s="6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A66" workbookViewId="0">
      <selection activeCell="L76" sqref="L76"/>
    </sheetView>
  </sheetViews>
  <sheetFormatPr defaultRowHeight="12.75" x14ac:dyDescent="0.2"/>
  <cols>
    <col min="1" max="1" width="13" customWidth="1"/>
    <col min="2" max="2" width="27" customWidth="1"/>
    <col min="3" max="3" width="13.140625" customWidth="1"/>
    <col min="5" max="5" width="14.42578125" customWidth="1"/>
    <col min="7" max="7" width="12.7109375" customWidth="1"/>
    <col min="9" max="9" width="14" customWidth="1"/>
    <col min="11" max="11" width="12.85546875" customWidth="1"/>
    <col min="13" max="13" width="12.7109375" customWidth="1"/>
    <col min="14" max="14" width="14.140625" customWidth="1"/>
    <col min="15" max="15" width="13.5703125" customWidth="1"/>
    <col min="16" max="16" width="22" customWidth="1"/>
    <col min="17" max="17" width="24" customWidth="1"/>
    <col min="18" max="18" width="13.28515625" customWidth="1"/>
    <col min="19" max="19" width="18" customWidth="1"/>
    <col min="257" max="257" width="13" customWidth="1"/>
    <col min="258" max="258" width="27" customWidth="1"/>
    <col min="259" max="259" width="13.140625" customWidth="1"/>
    <col min="261" max="261" width="14.42578125" customWidth="1"/>
    <col min="263" max="263" width="12.7109375" customWidth="1"/>
    <col min="265" max="265" width="14" customWidth="1"/>
    <col min="267" max="267" width="12.85546875" customWidth="1"/>
    <col min="269" max="269" width="12.7109375" customWidth="1"/>
    <col min="270" max="270" width="14.140625" customWidth="1"/>
    <col min="271" max="271" width="13.5703125" customWidth="1"/>
    <col min="272" max="272" width="22" customWidth="1"/>
    <col min="273" max="273" width="24" customWidth="1"/>
    <col min="274" max="274" width="13.28515625" customWidth="1"/>
    <col min="275" max="275" width="18" customWidth="1"/>
    <col min="513" max="513" width="13" customWidth="1"/>
    <col min="514" max="514" width="27" customWidth="1"/>
    <col min="515" max="515" width="13.140625" customWidth="1"/>
    <col min="517" max="517" width="14.42578125" customWidth="1"/>
    <col min="519" max="519" width="12.7109375" customWidth="1"/>
    <col min="521" max="521" width="14" customWidth="1"/>
    <col min="523" max="523" width="12.85546875" customWidth="1"/>
    <col min="525" max="525" width="12.7109375" customWidth="1"/>
    <col min="526" max="526" width="14.140625" customWidth="1"/>
    <col min="527" max="527" width="13.5703125" customWidth="1"/>
    <col min="528" max="528" width="22" customWidth="1"/>
    <col min="529" max="529" width="24" customWidth="1"/>
    <col min="530" max="530" width="13.28515625" customWidth="1"/>
    <col min="531" max="531" width="18" customWidth="1"/>
    <col min="769" max="769" width="13" customWidth="1"/>
    <col min="770" max="770" width="27" customWidth="1"/>
    <col min="771" max="771" width="13.140625" customWidth="1"/>
    <col min="773" max="773" width="14.42578125" customWidth="1"/>
    <col min="775" max="775" width="12.7109375" customWidth="1"/>
    <col min="777" max="777" width="14" customWidth="1"/>
    <col min="779" max="779" width="12.85546875" customWidth="1"/>
    <col min="781" max="781" width="12.7109375" customWidth="1"/>
    <col min="782" max="782" width="14.140625" customWidth="1"/>
    <col min="783" max="783" width="13.5703125" customWidth="1"/>
    <col min="784" max="784" width="22" customWidth="1"/>
    <col min="785" max="785" width="24" customWidth="1"/>
    <col min="786" max="786" width="13.28515625" customWidth="1"/>
    <col min="787" max="787" width="18" customWidth="1"/>
    <col min="1025" max="1025" width="13" customWidth="1"/>
    <col min="1026" max="1026" width="27" customWidth="1"/>
    <col min="1027" max="1027" width="13.140625" customWidth="1"/>
    <col min="1029" max="1029" width="14.42578125" customWidth="1"/>
    <col min="1031" max="1031" width="12.7109375" customWidth="1"/>
    <col min="1033" max="1033" width="14" customWidth="1"/>
    <col min="1035" max="1035" width="12.85546875" customWidth="1"/>
    <col min="1037" max="1037" width="12.7109375" customWidth="1"/>
    <col min="1038" max="1038" width="14.140625" customWidth="1"/>
    <col min="1039" max="1039" width="13.5703125" customWidth="1"/>
    <col min="1040" max="1040" width="22" customWidth="1"/>
    <col min="1041" max="1041" width="24" customWidth="1"/>
    <col min="1042" max="1042" width="13.28515625" customWidth="1"/>
    <col min="1043" max="1043" width="18" customWidth="1"/>
    <col min="1281" max="1281" width="13" customWidth="1"/>
    <col min="1282" max="1282" width="27" customWidth="1"/>
    <col min="1283" max="1283" width="13.140625" customWidth="1"/>
    <col min="1285" max="1285" width="14.42578125" customWidth="1"/>
    <col min="1287" max="1287" width="12.7109375" customWidth="1"/>
    <col min="1289" max="1289" width="14" customWidth="1"/>
    <col min="1291" max="1291" width="12.85546875" customWidth="1"/>
    <col min="1293" max="1293" width="12.7109375" customWidth="1"/>
    <col min="1294" max="1294" width="14.140625" customWidth="1"/>
    <col min="1295" max="1295" width="13.5703125" customWidth="1"/>
    <col min="1296" max="1296" width="22" customWidth="1"/>
    <col min="1297" max="1297" width="24" customWidth="1"/>
    <col min="1298" max="1298" width="13.28515625" customWidth="1"/>
    <col min="1299" max="1299" width="18" customWidth="1"/>
    <col min="1537" max="1537" width="13" customWidth="1"/>
    <col min="1538" max="1538" width="27" customWidth="1"/>
    <col min="1539" max="1539" width="13.140625" customWidth="1"/>
    <col min="1541" max="1541" width="14.42578125" customWidth="1"/>
    <col min="1543" max="1543" width="12.7109375" customWidth="1"/>
    <col min="1545" max="1545" width="14" customWidth="1"/>
    <col min="1547" max="1547" width="12.85546875" customWidth="1"/>
    <col min="1549" max="1549" width="12.7109375" customWidth="1"/>
    <col min="1550" max="1550" width="14.140625" customWidth="1"/>
    <col min="1551" max="1551" width="13.5703125" customWidth="1"/>
    <col min="1552" max="1552" width="22" customWidth="1"/>
    <col min="1553" max="1553" width="24" customWidth="1"/>
    <col min="1554" max="1554" width="13.28515625" customWidth="1"/>
    <col min="1555" max="1555" width="18" customWidth="1"/>
    <col min="1793" max="1793" width="13" customWidth="1"/>
    <col min="1794" max="1794" width="27" customWidth="1"/>
    <col min="1795" max="1795" width="13.140625" customWidth="1"/>
    <col min="1797" max="1797" width="14.42578125" customWidth="1"/>
    <col min="1799" max="1799" width="12.7109375" customWidth="1"/>
    <col min="1801" max="1801" width="14" customWidth="1"/>
    <col min="1803" max="1803" width="12.85546875" customWidth="1"/>
    <col min="1805" max="1805" width="12.7109375" customWidth="1"/>
    <col min="1806" max="1806" width="14.140625" customWidth="1"/>
    <col min="1807" max="1807" width="13.5703125" customWidth="1"/>
    <col min="1808" max="1808" width="22" customWidth="1"/>
    <col min="1809" max="1809" width="24" customWidth="1"/>
    <col min="1810" max="1810" width="13.28515625" customWidth="1"/>
    <col min="1811" max="1811" width="18" customWidth="1"/>
    <col min="2049" max="2049" width="13" customWidth="1"/>
    <col min="2050" max="2050" width="27" customWidth="1"/>
    <col min="2051" max="2051" width="13.140625" customWidth="1"/>
    <col min="2053" max="2053" width="14.42578125" customWidth="1"/>
    <col min="2055" max="2055" width="12.7109375" customWidth="1"/>
    <col min="2057" max="2057" width="14" customWidth="1"/>
    <col min="2059" max="2059" width="12.85546875" customWidth="1"/>
    <col min="2061" max="2061" width="12.7109375" customWidth="1"/>
    <col min="2062" max="2062" width="14.140625" customWidth="1"/>
    <col min="2063" max="2063" width="13.5703125" customWidth="1"/>
    <col min="2064" max="2064" width="22" customWidth="1"/>
    <col min="2065" max="2065" width="24" customWidth="1"/>
    <col min="2066" max="2066" width="13.28515625" customWidth="1"/>
    <col min="2067" max="2067" width="18" customWidth="1"/>
    <col min="2305" max="2305" width="13" customWidth="1"/>
    <col min="2306" max="2306" width="27" customWidth="1"/>
    <col min="2307" max="2307" width="13.140625" customWidth="1"/>
    <col min="2309" max="2309" width="14.42578125" customWidth="1"/>
    <col min="2311" max="2311" width="12.7109375" customWidth="1"/>
    <col min="2313" max="2313" width="14" customWidth="1"/>
    <col min="2315" max="2315" width="12.85546875" customWidth="1"/>
    <col min="2317" max="2317" width="12.7109375" customWidth="1"/>
    <col min="2318" max="2318" width="14.140625" customWidth="1"/>
    <col min="2319" max="2319" width="13.5703125" customWidth="1"/>
    <col min="2320" max="2320" width="22" customWidth="1"/>
    <col min="2321" max="2321" width="24" customWidth="1"/>
    <col min="2322" max="2322" width="13.28515625" customWidth="1"/>
    <col min="2323" max="2323" width="18" customWidth="1"/>
    <col min="2561" max="2561" width="13" customWidth="1"/>
    <col min="2562" max="2562" width="27" customWidth="1"/>
    <col min="2563" max="2563" width="13.140625" customWidth="1"/>
    <col min="2565" max="2565" width="14.42578125" customWidth="1"/>
    <col min="2567" max="2567" width="12.7109375" customWidth="1"/>
    <col min="2569" max="2569" width="14" customWidth="1"/>
    <col min="2571" max="2571" width="12.85546875" customWidth="1"/>
    <col min="2573" max="2573" width="12.7109375" customWidth="1"/>
    <col min="2574" max="2574" width="14.140625" customWidth="1"/>
    <col min="2575" max="2575" width="13.5703125" customWidth="1"/>
    <col min="2576" max="2576" width="22" customWidth="1"/>
    <col min="2577" max="2577" width="24" customWidth="1"/>
    <col min="2578" max="2578" width="13.28515625" customWidth="1"/>
    <col min="2579" max="2579" width="18" customWidth="1"/>
    <col min="2817" max="2817" width="13" customWidth="1"/>
    <col min="2818" max="2818" width="27" customWidth="1"/>
    <col min="2819" max="2819" width="13.140625" customWidth="1"/>
    <col min="2821" max="2821" width="14.42578125" customWidth="1"/>
    <col min="2823" max="2823" width="12.7109375" customWidth="1"/>
    <col min="2825" max="2825" width="14" customWidth="1"/>
    <col min="2827" max="2827" width="12.85546875" customWidth="1"/>
    <col min="2829" max="2829" width="12.7109375" customWidth="1"/>
    <col min="2830" max="2830" width="14.140625" customWidth="1"/>
    <col min="2831" max="2831" width="13.5703125" customWidth="1"/>
    <col min="2832" max="2832" width="22" customWidth="1"/>
    <col min="2833" max="2833" width="24" customWidth="1"/>
    <col min="2834" max="2834" width="13.28515625" customWidth="1"/>
    <col min="2835" max="2835" width="18" customWidth="1"/>
    <col min="3073" max="3073" width="13" customWidth="1"/>
    <col min="3074" max="3074" width="27" customWidth="1"/>
    <col min="3075" max="3075" width="13.140625" customWidth="1"/>
    <col min="3077" max="3077" width="14.42578125" customWidth="1"/>
    <col min="3079" max="3079" width="12.7109375" customWidth="1"/>
    <col min="3081" max="3081" width="14" customWidth="1"/>
    <col min="3083" max="3083" width="12.85546875" customWidth="1"/>
    <col min="3085" max="3085" width="12.7109375" customWidth="1"/>
    <col min="3086" max="3086" width="14.140625" customWidth="1"/>
    <col min="3087" max="3087" width="13.5703125" customWidth="1"/>
    <col min="3088" max="3088" width="22" customWidth="1"/>
    <col min="3089" max="3089" width="24" customWidth="1"/>
    <col min="3090" max="3090" width="13.28515625" customWidth="1"/>
    <col min="3091" max="3091" width="18" customWidth="1"/>
    <col min="3329" max="3329" width="13" customWidth="1"/>
    <col min="3330" max="3330" width="27" customWidth="1"/>
    <col min="3331" max="3331" width="13.140625" customWidth="1"/>
    <col min="3333" max="3333" width="14.42578125" customWidth="1"/>
    <col min="3335" max="3335" width="12.7109375" customWidth="1"/>
    <col min="3337" max="3337" width="14" customWidth="1"/>
    <col min="3339" max="3339" width="12.85546875" customWidth="1"/>
    <col min="3341" max="3341" width="12.7109375" customWidth="1"/>
    <col min="3342" max="3342" width="14.140625" customWidth="1"/>
    <col min="3343" max="3343" width="13.5703125" customWidth="1"/>
    <col min="3344" max="3344" width="22" customWidth="1"/>
    <col min="3345" max="3345" width="24" customWidth="1"/>
    <col min="3346" max="3346" width="13.28515625" customWidth="1"/>
    <col min="3347" max="3347" width="18" customWidth="1"/>
    <col min="3585" max="3585" width="13" customWidth="1"/>
    <col min="3586" max="3586" width="27" customWidth="1"/>
    <col min="3587" max="3587" width="13.140625" customWidth="1"/>
    <col min="3589" max="3589" width="14.42578125" customWidth="1"/>
    <col min="3591" max="3591" width="12.7109375" customWidth="1"/>
    <col min="3593" max="3593" width="14" customWidth="1"/>
    <col min="3595" max="3595" width="12.85546875" customWidth="1"/>
    <col min="3597" max="3597" width="12.7109375" customWidth="1"/>
    <col min="3598" max="3598" width="14.140625" customWidth="1"/>
    <col min="3599" max="3599" width="13.5703125" customWidth="1"/>
    <col min="3600" max="3600" width="22" customWidth="1"/>
    <col min="3601" max="3601" width="24" customWidth="1"/>
    <col min="3602" max="3602" width="13.28515625" customWidth="1"/>
    <col min="3603" max="3603" width="18" customWidth="1"/>
    <col min="3841" max="3841" width="13" customWidth="1"/>
    <col min="3842" max="3842" width="27" customWidth="1"/>
    <col min="3843" max="3843" width="13.140625" customWidth="1"/>
    <col min="3845" max="3845" width="14.42578125" customWidth="1"/>
    <col min="3847" max="3847" width="12.7109375" customWidth="1"/>
    <col min="3849" max="3849" width="14" customWidth="1"/>
    <col min="3851" max="3851" width="12.85546875" customWidth="1"/>
    <col min="3853" max="3853" width="12.7109375" customWidth="1"/>
    <col min="3854" max="3854" width="14.140625" customWidth="1"/>
    <col min="3855" max="3855" width="13.5703125" customWidth="1"/>
    <col min="3856" max="3856" width="22" customWidth="1"/>
    <col min="3857" max="3857" width="24" customWidth="1"/>
    <col min="3858" max="3858" width="13.28515625" customWidth="1"/>
    <col min="3859" max="3859" width="18" customWidth="1"/>
    <col min="4097" max="4097" width="13" customWidth="1"/>
    <col min="4098" max="4098" width="27" customWidth="1"/>
    <col min="4099" max="4099" width="13.140625" customWidth="1"/>
    <col min="4101" max="4101" width="14.42578125" customWidth="1"/>
    <col min="4103" max="4103" width="12.7109375" customWidth="1"/>
    <col min="4105" max="4105" width="14" customWidth="1"/>
    <col min="4107" max="4107" width="12.85546875" customWidth="1"/>
    <col min="4109" max="4109" width="12.7109375" customWidth="1"/>
    <col min="4110" max="4110" width="14.140625" customWidth="1"/>
    <col min="4111" max="4111" width="13.5703125" customWidth="1"/>
    <col min="4112" max="4112" width="22" customWidth="1"/>
    <col min="4113" max="4113" width="24" customWidth="1"/>
    <col min="4114" max="4114" width="13.28515625" customWidth="1"/>
    <col min="4115" max="4115" width="18" customWidth="1"/>
    <col min="4353" max="4353" width="13" customWidth="1"/>
    <col min="4354" max="4354" width="27" customWidth="1"/>
    <col min="4355" max="4355" width="13.140625" customWidth="1"/>
    <col min="4357" max="4357" width="14.42578125" customWidth="1"/>
    <col min="4359" max="4359" width="12.7109375" customWidth="1"/>
    <col min="4361" max="4361" width="14" customWidth="1"/>
    <col min="4363" max="4363" width="12.85546875" customWidth="1"/>
    <col min="4365" max="4365" width="12.7109375" customWidth="1"/>
    <col min="4366" max="4366" width="14.140625" customWidth="1"/>
    <col min="4367" max="4367" width="13.5703125" customWidth="1"/>
    <col min="4368" max="4368" width="22" customWidth="1"/>
    <col min="4369" max="4369" width="24" customWidth="1"/>
    <col min="4370" max="4370" width="13.28515625" customWidth="1"/>
    <col min="4371" max="4371" width="18" customWidth="1"/>
    <col min="4609" max="4609" width="13" customWidth="1"/>
    <col min="4610" max="4610" width="27" customWidth="1"/>
    <col min="4611" max="4611" width="13.140625" customWidth="1"/>
    <col min="4613" max="4613" width="14.42578125" customWidth="1"/>
    <col min="4615" max="4615" width="12.7109375" customWidth="1"/>
    <col min="4617" max="4617" width="14" customWidth="1"/>
    <col min="4619" max="4619" width="12.85546875" customWidth="1"/>
    <col min="4621" max="4621" width="12.7109375" customWidth="1"/>
    <col min="4622" max="4622" width="14.140625" customWidth="1"/>
    <col min="4623" max="4623" width="13.5703125" customWidth="1"/>
    <col min="4624" max="4624" width="22" customWidth="1"/>
    <col min="4625" max="4625" width="24" customWidth="1"/>
    <col min="4626" max="4626" width="13.28515625" customWidth="1"/>
    <col min="4627" max="4627" width="18" customWidth="1"/>
    <col min="4865" max="4865" width="13" customWidth="1"/>
    <col min="4866" max="4866" width="27" customWidth="1"/>
    <col min="4867" max="4867" width="13.140625" customWidth="1"/>
    <col min="4869" max="4869" width="14.42578125" customWidth="1"/>
    <col min="4871" max="4871" width="12.7109375" customWidth="1"/>
    <col min="4873" max="4873" width="14" customWidth="1"/>
    <col min="4875" max="4875" width="12.85546875" customWidth="1"/>
    <col min="4877" max="4877" width="12.7109375" customWidth="1"/>
    <col min="4878" max="4878" width="14.140625" customWidth="1"/>
    <col min="4879" max="4879" width="13.5703125" customWidth="1"/>
    <col min="4880" max="4880" width="22" customWidth="1"/>
    <col min="4881" max="4881" width="24" customWidth="1"/>
    <col min="4882" max="4882" width="13.28515625" customWidth="1"/>
    <col min="4883" max="4883" width="18" customWidth="1"/>
    <col min="5121" max="5121" width="13" customWidth="1"/>
    <col min="5122" max="5122" width="27" customWidth="1"/>
    <col min="5123" max="5123" width="13.140625" customWidth="1"/>
    <col min="5125" max="5125" width="14.42578125" customWidth="1"/>
    <col min="5127" max="5127" width="12.7109375" customWidth="1"/>
    <col min="5129" max="5129" width="14" customWidth="1"/>
    <col min="5131" max="5131" width="12.85546875" customWidth="1"/>
    <col min="5133" max="5133" width="12.7109375" customWidth="1"/>
    <col min="5134" max="5134" width="14.140625" customWidth="1"/>
    <col min="5135" max="5135" width="13.5703125" customWidth="1"/>
    <col min="5136" max="5136" width="22" customWidth="1"/>
    <col min="5137" max="5137" width="24" customWidth="1"/>
    <col min="5138" max="5138" width="13.28515625" customWidth="1"/>
    <col min="5139" max="5139" width="18" customWidth="1"/>
    <col min="5377" max="5377" width="13" customWidth="1"/>
    <col min="5378" max="5378" width="27" customWidth="1"/>
    <col min="5379" max="5379" width="13.140625" customWidth="1"/>
    <col min="5381" max="5381" width="14.42578125" customWidth="1"/>
    <col min="5383" max="5383" width="12.7109375" customWidth="1"/>
    <col min="5385" max="5385" width="14" customWidth="1"/>
    <col min="5387" max="5387" width="12.85546875" customWidth="1"/>
    <col min="5389" max="5389" width="12.7109375" customWidth="1"/>
    <col min="5390" max="5390" width="14.140625" customWidth="1"/>
    <col min="5391" max="5391" width="13.5703125" customWidth="1"/>
    <col min="5392" max="5392" width="22" customWidth="1"/>
    <col min="5393" max="5393" width="24" customWidth="1"/>
    <col min="5394" max="5394" width="13.28515625" customWidth="1"/>
    <col min="5395" max="5395" width="18" customWidth="1"/>
    <col min="5633" max="5633" width="13" customWidth="1"/>
    <col min="5634" max="5634" width="27" customWidth="1"/>
    <col min="5635" max="5635" width="13.140625" customWidth="1"/>
    <col min="5637" max="5637" width="14.42578125" customWidth="1"/>
    <col min="5639" max="5639" width="12.7109375" customWidth="1"/>
    <col min="5641" max="5641" width="14" customWidth="1"/>
    <col min="5643" max="5643" width="12.85546875" customWidth="1"/>
    <col min="5645" max="5645" width="12.7109375" customWidth="1"/>
    <col min="5646" max="5646" width="14.140625" customWidth="1"/>
    <col min="5647" max="5647" width="13.5703125" customWidth="1"/>
    <col min="5648" max="5648" width="22" customWidth="1"/>
    <col min="5649" max="5649" width="24" customWidth="1"/>
    <col min="5650" max="5650" width="13.28515625" customWidth="1"/>
    <col min="5651" max="5651" width="18" customWidth="1"/>
    <col min="5889" max="5889" width="13" customWidth="1"/>
    <col min="5890" max="5890" width="27" customWidth="1"/>
    <col min="5891" max="5891" width="13.140625" customWidth="1"/>
    <col min="5893" max="5893" width="14.42578125" customWidth="1"/>
    <col min="5895" max="5895" width="12.7109375" customWidth="1"/>
    <col min="5897" max="5897" width="14" customWidth="1"/>
    <col min="5899" max="5899" width="12.85546875" customWidth="1"/>
    <col min="5901" max="5901" width="12.7109375" customWidth="1"/>
    <col min="5902" max="5902" width="14.140625" customWidth="1"/>
    <col min="5903" max="5903" width="13.5703125" customWidth="1"/>
    <col min="5904" max="5904" width="22" customWidth="1"/>
    <col min="5905" max="5905" width="24" customWidth="1"/>
    <col min="5906" max="5906" width="13.28515625" customWidth="1"/>
    <col min="5907" max="5907" width="18" customWidth="1"/>
    <col min="6145" max="6145" width="13" customWidth="1"/>
    <col min="6146" max="6146" width="27" customWidth="1"/>
    <col min="6147" max="6147" width="13.140625" customWidth="1"/>
    <col min="6149" max="6149" width="14.42578125" customWidth="1"/>
    <col min="6151" max="6151" width="12.7109375" customWidth="1"/>
    <col min="6153" max="6153" width="14" customWidth="1"/>
    <col min="6155" max="6155" width="12.85546875" customWidth="1"/>
    <col min="6157" max="6157" width="12.7109375" customWidth="1"/>
    <col min="6158" max="6158" width="14.140625" customWidth="1"/>
    <col min="6159" max="6159" width="13.5703125" customWidth="1"/>
    <col min="6160" max="6160" width="22" customWidth="1"/>
    <col min="6161" max="6161" width="24" customWidth="1"/>
    <col min="6162" max="6162" width="13.28515625" customWidth="1"/>
    <col min="6163" max="6163" width="18" customWidth="1"/>
    <col min="6401" max="6401" width="13" customWidth="1"/>
    <col min="6402" max="6402" width="27" customWidth="1"/>
    <col min="6403" max="6403" width="13.140625" customWidth="1"/>
    <col min="6405" max="6405" width="14.42578125" customWidth="1"/>
    <col min="6407" max="6407" width="12.7109375" customWidth="1"/>
    <col min="6409" max="6409" width="14" customWidth="1"/>
    <col min="6411" max="6411" width="12.85546875" customWidth="1"/>
    <col min="6413" max="6413" width="12.7109375" customWidth="1"/>
    <col min="6414" max="6414" width="14.140625" customWidth="1"/>
    <col min="6415" max="6415" width="13.5703125" customWidth="1"/>
    <col min="6416" max="6416" width="22" customWidth="1"/>
    <col min="6417" max="6417" width="24" customWidth="1"/>
    <col min="6418" max="6418" width="13.28515625" customWidth="1"/>
    <col min="6419" max="6419" width="18" customWidth="1"/>
    <col min="6657" max="6657" width="13" customWidth="1"/>
    <col min="6658" max="6658" width="27" customWidth="1"/>
    <col min="6659" max="6659" width="13.140625" customWidth="1"/>
    <col min="6661" max="6661" width="14.42578125" customWidth="1"/>
    <col min="6663" max="6663" width="12.7109375" customWidth="1"/>
    <col min="6665" max="6665" width="14" customWidth="1"/>
    <col min="6667" max="6667" width="12.85546875" customWidth="1"/>
    <col min="6669" max="6669" width="12.7109375" customWidth="1"/>
    <col min="6670" max="6670" width="14.140625" customWidth="1"/>
    <col min="6671" max="6671" width="13.5703125" customWidth="1"/>
    <col min="6672" max="6672" width="22" customWidth="1"/>
    <col min="6673" max="6673" width="24" customWidth="1"/>
    <col min="6674" max="6674" width="13.28515625" customWidth="1"/>
    <col min="6675" max="6675" width="18" customWidth="1"/>
    <col min="6913" max="6913" width="13" customWidth="1"/>
    <col min="6914" max="6914" width="27" customWidth="1"/>
    <col min="6915" max="6915" width="13.140625" customWidth="1"/>
    <col min="6917" max="6917" width="14.42578125" customWidth="1"/>
    <col min="6919" max="6919" width="12.7109375" customWidth="1"/>
    <col min="6921" max="6921" width="14" customWidth="1"/>
    <col min="6923" max="6923" width="12.85546875" customWidth="1"/>
    <col min="6925" max="6925" width="12.7109375" customWidth="1"/>
    <col min="6926" max="6926" width="14.140625" customWidth="1"/>
    <col min="6927" max="6927" width="13.5703125" customWidth="1"/>
    <col min="6928" max="6928" width="22" customWidth="1"/>
    <col min="6929" max="6929" width="24" customWidth="1"/>
    <col min="6930" max="6930" width="13.28515625" customWidth="1"/>
    <col min="6931" max="6931" width="18" customWidth="1"/>
    <col min="7169" max="7169" width="13" customWidth="1"/>
    <col min="7170" max="7170" width="27" customWidth="1"/>
    <col min="7171" max="7171" width="13.140625" customWidth="1"/>
    <col min="7173" max="7173" width="14.42578125" customWidth="1"/>
    <col min="7175" max="7175" width="12.7109375" customWidth="1"/>
    <col min="7177" max="7177" width="14" customWidth="1"/>
    <col min="7179" max="7179" width="12.85546875" customWidth="1"/>
    <col min="7181" max="7181" width="12.7109375" customWidth="1"/>
    <col min="7182" max="7182" width="14.140625" customWidth="1"/>
    <col min="7183" max="7183" width="13.5703125" customWidth="1"/>
    <col min="7184" max="7184" width="22" customWidth="1"/>
    <col min="7185" max="7185" width="24" customWidth="1"/>
    <col min="7186" max="7186" width="13.28515625" customWidth="1"/>
    <col min="7187" max="7187" width="18" customWidth="1"/>
    <col min="7425" max="7425" width="13" customWidth="1"/>
    <col min="7426" max="7426" width="27" customWidth="1"/>
    <col min="7427" max="7427" width="13.140625" customWidth="1"/>
    <col min="7429" max="7429" width="14.42578125" customWidth="1"/>
    <col min="7431" max="7431" width="12.7109375" customWidth="1"/>
    <col min="7433" max="7433" width="14" customWidth="1"/>
    <col min="7435" max="7435" width="12.85546875" customWidth="1"/>
    <col min="7437" max="7437" width="12.7109375" customWidth="1"/>
    <col min="7438" max="7438" width="14.140625" customWidth="1"/>
    <col min="7439" max="7439" width="13.5703125" customWidth="1"/>
    <col min="7440" max="7440" width="22" customWidth="1"/>
    <col min="7441" max="7441" width="24" customWidth="1"/>
    <col min="7442" max="7442" width="13.28515625" customWidth="1"/>
    <col min="7443" max="7443" width="18" customWidth="1"/>
    <col min="7681" max="7681" width="13" customWidth="1"/>
    <col min="7682" max="7682" width="27" customWidth="1"/>
    <col min="7683" max="7683" width="13.140625" customWidth="1"/>
    <col min="7685" max="7685" width="14.42578125" customWidth="1"/>
    <col min="7687" max="7687" width="12.7109375" customWidth="1"/>
    <col min="7689" max="7689" width="14" customWidth="1"/>
    <col min="7691" max="7691" width="12.85546875" customWidth="1"/>
    <col min="7693" max="7693" width="12.7109375" customWidth="1"/>
    <col min="7694" max="7694" width="14.140625" customWidth="1"/>
    <col min="7695" max="7695" width="13.5703125" customWidth="1"/>
    <col min="7696" max="7696" width="22" customWidth="1"/>
    <col min="7697" max="7697" width="24" customWidth="1"/>
    <col min="7698" max="7698" width="13.28515625" customWidth="1"/>
    <col min="7699" max="7699" width="18" customWidth="1"/>
    <col min="7937" max="7937" width="13" customWidth="1"/>
    <col min="7938" max="7938" width="27" customWidth="1"/>
    <col min="7939" max="7939" width="13.140625" customWidth="1"/>
    <col min="7941" max="7941" width="14.42578125" customWidth="1"/>
    <col min="7943" max="7943" width="12.7109375" customWidth="1"/>
    <col min="7945" max="7945" width="14" customWidth="1"/>
    <col min="7947" max="7947" width="12.85546875" customWidth="1"/>
    <col min="7949" max="7949" width="12.7109375" customWidth="1"/>
    <col min="7950" max="7950" width="14.140625" customWidth="1"/>
    <col min="7951" max="7951" width="13.5703125" customWidth="1"/>
    <col min="7952" max="7952" width="22" customWidth="1"/>
    <col min="7953" max="7953" width="24" customWidth="1"/>
    <col min="7954" max="7954" width="13.28515625" customWidth="1"/>
    <col min="7955" max="7955" width="18" customWidth="1"/>
    <col min="8193" max="8193" width="13" customWidth="1"/>
    <col min="8194" max="8194" width="27" customWidth="1"/>
    <col min="8195" max="8195" width="13.140625" customWidth="1"/>
    <col min="8197" max="8197" width="14.42578125" customWidth="1"/>
    <col min="8199" max="8199" width="12.7109375" customWidth="1"/>
    <col min="8201" max="8201" width="14" customWidth="1"/>
    <col min="8203" max="8203" width="12.85546875" customWidth="1"/>
    <col min="8205" max="8205" width="12.7109375" customWidth="1"/>
    <col min="8206" max="8206" width="14.140625" customWidth="1"/>
    <col min="8207" max="8207" width="13.5703125" customWidth="1"/>
    <col min="8208" max="8208" width="22" customWidth="1"/>
    <col min="8209" max="8209" width="24" customWidth="1"/>
    <col min="8210" max="8210" width="13.28515625" customWidth="1"/>
    <col min="8211" max="8211" width="18" customWidth="1"/>
    <col min="8449" max="8449" width="13" customWidth="1"/>
    <col min="8450" max="8450" width="27" customWidth="1"/>
    <col min="8451" max="8451" width="13.140625" customWidth="1"/>
    <col min="8453" max="8453" width="14.42578125" customWidth="1"/>
    <col min="8455" max="8455" width="12.7109375" customWidth="1"/>
    <col min="8457" max="8457" width="14" customWidth="1"/>
    <col min="8459" max="8459" width="12.85546875" customWidth="1"/>
    <col min="8461" max="8461" width="12.7109375" customWidth="1"/>
    <col min="8462" max="8462" width="14.140625" customWidth="1"/>
    <col min="8463" max="8463" width="13.5703125" customWidth="1"/>
    <col min="8464" max="8464" width="22" customWidth="1"/>
    <col min="8465" max="8465" width="24" customWidth="1"/>
    <col min="8466" max="8466" width="13.28515625" customWidth="1"/>
    <col min="8467" max="8467" width="18" customWidth="1"/>
    <col min="8705" max="8705" width="13" customWidth="1"/>
    <col min="8706" max="8706" width="27" customWidth="1"/>
    <col min="8707" max="8707" width="13.140625" customWidth="1"/>
    <col min="8709" max="8709" width="14.42578125" customWidth="1"/>
    <col min="8711" max="8711" width="12.7109375" customWidth="1"/>
    <col min="8713" max="8713" width="14" customWidth="1"/>
    <col min="8715" max="8715" width="12.85546875" customWidth="1"/>
    <col min="8717" max="8717" width="12.7109375" customWidth="1"/>
    <col min="8718" max="8718" width="14.140625" customWidth="1"/>
    <col min="8719" max="8719" width="13.5703125" customWidth="1"/>
    <col min="8720" max="8720" width="22" customWidth="1"/>
    <col min="8721" max="8721" width="24" customWidth="1"/>
    <col min="8722" max="8722" width="13.28515625" customWidth="1"/>
    <col min="8723" max="8723" width="18" customWidth="1"/>
    <col min="8961" max="8961" width="13" customWidth="1"/>
    <col min="8962" max="8962" width="27" customWidth="1"/>
    <col min="8963" max="8963" width="13.140625" customWidth="1"/>
    <col min="8965" max="8965" width="14.42578125" customWidth="1"/>
    <col min="8967" max="8967" width="12.7109375" customWidth="1"/>
    <col min="8969" max="8969" width="14" customWidth="1"/>
    <col min="8971" max="8971" width="12.85546875" customWidth="1"/>
    <col min="8973" max="8973" width="12.7109375" customWidth="1"/>
    <col min="8974" max="8974" width="14.140625" customWidth="1"/>
    <col min="8975" max="8975" width="13.5703125" customWidth="1"/>
    <col min="8976" max="8976" width="22" customWidth="1"/>
    <col min="8977" max="8977" width="24" customWidth="1"/>
    <col min="8978" max="8978" width="13.28515625" customWidth="1"/>
    <col min="8979" max="8979" width="18" customWidth="1"/>
    <col min="9217" max="9217" width="13" customWidth="1"/>
    <col min="9218" max="9218" width="27" customWidth="1"/>
    <col min="9219" max="9219" width="13.140625" customWidth="1"/>
    <col min="9221" max="9221" width="14.42578125" customWidth="1"/>
    <col min="9223" max="9223" width="12.7109375" customWidth="1"/>
    <col min="9225" max="9225" width="14" customWidth="1"/>
    <col min="9227" max="9227" width="12.85546875" customWidth="1"/>
    <col min="9229" max="9229" width="12.7109375" customWidth="1"/>
    <col min="9230" max="9230" width="14.140625" customWidth="1"/>
    <col min="9231" max="9231" width="13.5703125" customWidth="1"/>
    <col min="9232" max="9232" width="22" customWidth="1"/>
    <col min="9233" max="9233" width="24" customWidth="1"/>
    <col min="9234" max="9234" width="13.28515625" customWidth="1"/>
    <col min="9235" max="9235" width="18" customWidth="1"/>
    <col min="9473" max="9473" width="13" customWidth="1"/>
    <col min="9474" max="9474" width="27" customWidth="1"/>
    <col min="9475" max="9475" width="13.140625" customWidth="1"/>
    <col min="9477" max="9477" width="14.42578125" customWidth="1"/>
    <col min="9479" max="9479" width="12.7109375" customWidth="1"/>
    <col min="9481" max="9481" width="14" customWidth="1"/>
    <col min="9483" max="9483" width="12.85546875" customWidth="1"/>
    <col min="9485" max="9485" width="12.7109375" customWidth="1"/>
    <col min="9486" max="9486" width="14.140625" customWidth="1"/>
    <col min="9487" max="9487" width="13.5703125" customWidth="1"/>
    <col min="9488" max="9488" width="22" customWidth="1"/>
    <col min="9489" max="9489" width="24" customWidth="1"/>
    <col min="9490" max="9490" width="13.28515625" customWidth="1"/>
    <col min="9491" max="9491" width="18" customWidth="1"/>
    <col min="9729" max="9729" width="13" customWidth="1"/>
    <col min="9730" max="9730" width="27" customWidth="1"/>
    <col min="9731" max="9731" width="13.140625" customWidth="1"/>
    <col min="9733" max="9733" width="14.42578125" customWidth="1"/>
    <col min="9735" max="9735" width="12.7109375" customWidth="1"/>
    <col min="9737" max="9737" width="14" customWidth="1"/>
    <col min="9739" max="9739" width="12.85546875" customWidth="1"/>
    <col min="9741" max="9741" width="12.7109375" customWidth="1"/>
    <col min="9742" max="9742" width="14.140625" customWidth="1"/>
    <col min="9743" max="9743" width="13.5703125" customWidth="1"/>
    <col min="9744" max="9744" width="22" customWidth="1"/>
    <col min="9745" max="9745" width="24" customWidth="1"/>
    <col min="9746" max="9746" width="13.28515625" customWidth="1"/>
    <col min="9747" max="9747" width="18" customWidth="1"/>
    <col min="9985" max="9985" width="13" customWidth="1"/>
    <col min="9986" max="9986" width="27" customWidth="1"/>
    <col min="9987" max="9987" width="13.140625" customWidth="1"/>
    <col min="9989" max="9989" width="14.42578125" customWidth="1"/>
    <col min="9991" max="9991" width="12.7109375" customWidth="1"/>
    <col min="9993" max="9993" width="14" customWidth="1"/>
    <col min="9995" max="9995" width="12.85546875" customWidth="1"/>
    <col min="9997" max="9997" width="12.7109375" customWidth="1"/>
    <col min="9998" max="9998" width="14.140625" customWidth="1"/>
    <col min="9999" max="9999" width="13.5703125" customWidth="1"/>
    <col min="10000" max="10000" width="22" customWidth="1"/>
    <col min="10001" max="10001" width="24" customWidth="1"/>
    <col min="10002" max="10002" width="13.28515625" customWidth="1"/>
    <col min="10003" max="10003" width="18" customWidth="1"/>
    <col min="10241" max="10241" width="13" customWidth="1"/>
    <col min="10242" max="10242" width="27" customWidth="1"/>
    <col min="10243" max="10243" width="13.140625" customWidth="1"/>
    <col min="10245" max="10245" width="14.42578125" customWidth="1"/>
    <col min="10247" max="10247" width="12.7109375" customWidth="1"/>
    <col min="10249" max="10249" width="14" customWidth="1"/>
    <col min="10251" max="10251" width="12.85546875" customWidth="1"/>
    <col min="10253" max="10253" width="12.7109375" customWidth="1"/>
    <col min="10254" max="10254" width="14.140625" customWidth="1"/>
    <col min="10255" max="10255" width="13.5703125" customWidth="1"/>
    <col min="10256" max="10256" width="22" customWidth="1"/>
    <col min="10257" max="10257" width="24" customWidth="1"/>
    <col min="10258" max="10258" width="13.28515625" customWidth="1"/>
    <col min="10259" max="10259" width="18" customWidth="1"/>
    <col min="10497" max="10497" width="13" customWidth="1"/>
    <col min="10498" max="10498" width="27" customWidth="1"/>
    <col min="10499" max="10499" width="13.140625" customWidth="1"/>
    <col min="10501" max="10501" width="14.42578125" customWidth="1"/>
    <col min="10503" max="10503" width="12.7109375" customWidth="1"/>
    <col min="10505" max="10505" width="14" customWidth="1"/>
    <col min="10507" max="10507" width="12.85546875" customWidth="1"/>
    <col min="10509" max="10509" width="12.7109375" customWidth="1"/>
    <col min="10510" max="10510" width="14.140625" customWidth="1"/>
    <col min="10511" max="10511" width="13.5703125" customWidth="1"/>
    <col min="10512" max="10512" width="22" customWidth="1"/>
    <col min="10513" max="10513" width="24" customWidth="1"/>
    <col min="10514" max="10514" width="13.28515625" customWidth="1"/>
    <col min="10515" max="10515" width="18" customWidth="1"/>
    <col min="10753" max="10753" width="13" customWidth="1"/>
    <col min="10754" max="10754" width="27" customWidth="1"/>
    <col min="10755" max="10755" width="13.140625" customWidth="1"/>
    <col min="10757" max="10757" width="14.42578125" customWidth="1"/>
    <col min="10759" max="10759" width="12.7109375" customWidth="1"/>
    <col min="10761" max="10761" width="14" customWidth="1"/>
    <col min="10763" max="10763" width="12.85546875" customWidth="1"/>
    <col min="10765" max="10765" width="12.7109375" customWidth="1"/>
    <col min="10766" max="10766" width="14.140625" customWidth="1"/>
    <col min="10767" max="10767" width="13.5703125" customWidth="1"/>
    <col min="10768" max="10768" width="22" customWidth="1"/>
    <col min="10769" max="10769" width="24" customWidth="1"/>
    <col min="10770" max="10770" width="13.28515625" customWidth="1"/>
    <col min="10771" max="10771" width="18" customWidth="1"/>
    <col min="11009" max="11009" width="13" customWidth="1"/>
    <col min="11010" max="11010" width="27" customWidth="1"/>
    <col min="11011" max="11011" width="13.140625" customWidth="1"/>
    <col min="11013" max="11013" width="14.42578125" customWidth="1"/>
    <col min="11015" max="11015" width="12.7109375" customWidth="1"/>
    <col min="11017" max="11017" width="14" customWidth="1"/>
    <col min="11019" max="11019" width="12.85546875" customWidth="1"/>
    <col min="11021" max="11021" width="12.7109375" customWidth="1"/>
    <col min="11022" max="11022" width="14.140625" customWidth="1"/>
    <col min="11023" max="11023" width="13.5703125" customWidth="1"/>
    <col min="11024" max="11024" width="22" customWidth="1"/>
    <col min="11025" max="11025" width="24" customWidth="1"/>
    <col min="11026" max="11026" width="13.28515625" customWidth="1"/>
    <col min="11027" max="11027" width="18" customWidth="1"/>
    <col min="11265" max="11265" width="13" customWidth="1"/>
    <col min="11266" max="11266" width="27" customWidth="1"/>
    <col min="11267" max="11267" width="13.140625" customWidth="1"/>
    <col min="11269" max="11269" width="14.42578125" customWidth="1"/>
    <col min="11271" max="11271" width="12.7109375" customWidth="1"/>
    <col min="11273" max="11273" width="14" customWidth="1"/>
    <col min="11275" max="11275" width="12.85546875" customWidth="1"/>
    <col min="11277" max="11277" width="12.7109375" customWidth="1"/>
    <col min="11278" max="11278" width="14.140625" customWidth="1"/>
    <col min="11279" max="11279" width="13.5703125" customWidth="1"/>
    <col min="11280" max="11280" width="22" customWidth="1"/>
    <col min="11281" max="11281" width="24" customWidth="1"/>
    <col min="11282" max="11282" width="13.28515625" customWidth="1"/>
    <col min="11283" max="11283" width="18" customWidth="1"/>
    <col min="11521" max="11521" width="13" customWidth="1"/>
    <col min="11522" max="11522" width="27" customWidth="1"/>
    <col min="11523" max="11523" width="13.140625" customWidth="1"/>
    <col min="11525" max="11525" width="14.42578125" customWidth="1"/>
    <col min="11527" max="11527" width="12.7109375" customWidth="1"/>
    <col min="11529" max="11529" width="14" customWidth="1"/>
    <col min="11531" max="11531" width="12.85546875" customWidth="1"/>
    <col min="11533" max="11533" width="12.7109375" customWidth="1"/>
    <col min="11534" max="11534" width="14.140625" customWidth="1"/>
    <col min="11535" max="11535" width="13.5703125" customWidth="1"/>
    <col min="11536" max="11536" width="22" customWidth="1"/>
    <col min="11537" max="11537" width="24" customWidth="1"/>
    <col min="11538" max="11538" width="13.28515625" customWidth="1"/>
    <col min="11539" max="11539" width="18" customWidth="1"/>
    <col min="11777" max="11777" width="13" customWidth="1"/>
    <col min="11778" max="11778" width="27" customWidth="1"/>
    <col min="11779" max="11779" width="13.140625" customWidth="1"/>
    <col min="11781" max="11781" width="14.42578125" customWidth="1"/>
    <col min="11783" max="11783" width="12.7109375" customWidth="1"/>
    <col min="11785" max="11785" width="14" customWidth="1"/>
    <col min="11787" max="11787" width="12.85546875" customWidth="1"/>
    <col min="11789" max="11789" width="12.7109375" customWidth="1"/>
    <col min="11790" max="11790" width="14.140625" customWidth="1"/>
    <col min="11791" max="11791" width="13.5703125" customWidth="1"/>
    <col min="11792" max="11792" width="22" customWidth="1"/>
    <col min="11793" max="11793" width="24" customWidth="1"/>
    <col min="11794" max="11794" width="13.28515625" customWidth="1"/>
    <col min="11795" max="11795" width="18" customWidth="1"/>
    <col min="12033" max="12033" width="13" customWidth="1"/>
    <col min="12034" max="12034" width="27" customWidth="1"/>
    <col min="12035" max="12035" width="13.140625" customWidth="1"/>
    <col min="12037" max="12037" width="14.42578125" customWidth="1"/>
    <col min="12039" max="12039" width="12.7109375" customWidth="1"/>
    <col min="12041" max="12041" width="14" customWidth="1"/>
    <col min="12043" max="12043" width="12.85546875" customWidth="1"/>
    <col min="12045" max="12045" width="12.7109375" customWidth="1"/>
    <col min="12046" max="12046" width="14.140625" customWidth="1"/>
    <col min="12047" max="12047" width="13.5703125" customWidth="1"/>
    <col min="12048" max="12048" width="22" customWidth="1"/>
    <col min="12049" max="12049" width="24" customWidth="1"/>
    <col min="12050" max="12050" width="13.28515625" customWidth="1"/>
    <col min="12051" max="12051" width="18" customWidth="1"/>
    <col min="12289" max="12289" width="13" customWidth="1"/>
    <col min="12290" max="12290" width="27" customWidth="1"/>
    <col min="12291" max="12291" width="13.140625" customWidth="1"/>
    <col min="12293" max="12293" width="14.42578125" customWidth="1"/>
    <col min="12295" max="12295" width="12.7109375" customWidth="1"/>
    <col min="12297" max="12297" width="14" customWidth="1"/>
    <col min="12299" max="12299" width="12.85546875" customWidth="1"/>
    <col min="12301" max="12301" width="12.7109375" customWidth="1"/>
    <col min="12302" max="12302" width="14.140625" customWidth="1"/>
    <col min="12303" max="12303" width="13.5703125" customWidth="1"/>
    <col min="12304" max="12304" width="22" customWidth="1"/>
    <col min="12305" max="12305" width="24" customWidth="1"/>
    <col min="12306" max="12306" width="13.28515625" customWidth="1"/>
    <col min="12307" max="12307" width="18" customWidth="1"/>
    <col min="12545" max="12545" width="13" customWidth="1"/>
    <col min="12546" max="12546" width="27" customWidth="1"/>
    <col min="12547" max="12547" width="13.140625" customWidth="1"/>
    <col min="12549" max="12549" width="14.42578125" customWidth="1"/>
    <col min="12551" max="12551" width="12.7109375" customWidth="1"/>
    <col min="12553" max="12553" width="14" customWidth="1"/>
    <col min="12555" max="12555" width="12.85546875" customWidth="1"/>
    <col min="12557" max="12557" width="12.7109375" customWidth="1"/>
    <col min="12558" max="12558" width="14.140625" customWidth="1"/>
    <col min="12559" max="12559" width="13.5703125" customWidth="1"/>
    <col min="12560" max="12560" width="22" customWidth="1"/>
    <col min="12561" max="12561" width="24" customWidth="1"/>
    <col min="12562" max="12562" width="13.28515625" customWidth="1"/>
    <col min="12563" max="12563" width="18" customWidth="1"/>
    <col min="12801" max="12801" width="13" customWidth="1"/>
    <col min="12802" max="12802" width="27" customWidth="1"/>
    <col min="12803" max="12803" width="13.140625" customWidth="1"/>
    <col min="12805" max="12805" width="14.42578125" customWidth="1"/>
    <col min="12807" max="12807" width="12.7109375" customWidth="1"/>
    <col min="12809" max="12809" width="14" customWidth="1"/>
    <col min="12811" max="12811" width="12.85546875" customWidth="1"/>
    <col min="12813" max="12813" width="12.7109375" customWidth="1"/>
    <col min="12814" max="12814" width="14.140625" customWidth="1"/>
    <col min="12815" max="12815" width="13.5703125" customWidth="1"/>
    <col min="12816" max="12816" width="22" customWidth="1"/>
    <col min="12817" max="12817" width="24" customWidth="1"/>
    <col min="12818" max="12818" width="13.28515625" customWidth="1"/>
    <col min="12819" max="12819" width="18" customWidth="1"/>
    <col min="13057" max="13057" width="13" customWidth="1"/>
    <col min="13058" max="13058" width="27" customWidth="1"/>
    <col min="13059" max="13059" width="13.140625" customWidth="1"/>
    <col min="13061" max="13061" width="14.42578125" customWidth="1"/>
    <col min="13063" max="13063" width="12.7109375" customWidth="1"/>
    <col min="13065" max="13065" width="14" customWidth="1"/>
    <col min="13067" max="13067" width="12.85546875" customWidth="1"/>
    <col min="13069" max="13069" width="12.7109375" customWidth="1"/>
    <col min="13070" max="13070" width="14.140625" customWidth="1"/>
    <col min="13071" max="13071" width="13.5703125" customWidth="1"/>
    <col min="13072" max="13072" width="22" customWidth="1"/>
    <col min="13073" max="13073" width="24" customWidth="1"/>
    <col min="13074" max="13074" width="13.28515625" customWidth="1"/>
    <col min="13075" max="13075" width="18" customWidth="1"/>
    <col min="13313" max="13313" width="13" customWidth="1"/>
    <col min="13314" max="13314" width="27" customWidth="1"/>
    <col min="13315" max="13315" width="13.140625" customWidth="1"/>
    <col min="13317" max="13317" width="14.42578125" customWidth="1"/>
    <col min="13319" max="13319" width="12.7109375" customWidth="1"/>
    <col min="13321" max="13321" width="14" customWidth="1"/>
    <col min="13323" max="13323" width="12.85546875" customWidth="1"/>
    <col min="13325" max="13325" width="12.7109375" customWidth="1"/>
    <col min="13326" max="13326" width="14.140625" customWidth="1"/>
    <col min="13327" max="13327" width="13.5703125" customWidth="1"/>
    <col min="13328" max="13328" width="22" customWidth="1"/>
    <col min="13329" max="13329" width="24" customWidth="1"/>
    <col min="13330" max="13330" width="13.28515625" customWidth="1"/>
    <col min="13331" max="13331" width="18" customWidth="1"/>
    <col min="13569" max="13569" width="13" customWidth="1"/>
    <col min="13570" max="13570" width="27" customWidth="1"/>
    <col min="13571" max="13571" width="13.140625" customWidth="1"/>
    <col min="13573" max="13573" width="14.42578125" customWidth="1"/>
    <col min="13575" max="13575" width="12.7109375" customWidth="1"/>
    <col min="13577" max="13577" width="14" customWidth="1"/>
    <col min="13579" max="13579" width="12.85546875" customWidth="1"/>
    <col min="13581" max="13581" width="12.7109375" customWidth="1"/>
    <col min="13582" max="13582" width="14.140625" customWidth="1"/>
    <col min="13583" max="13583" width="13.5703125" customWidth="1"/>
    <col min="13584" max="13584" width="22" customWidth="1"/>
    <col min="13585" max="13585" width="24" customWidth="1"/>
    <col min="13586" max="13586" width="13.28515625" customWidth="1"/>
    <col min="13587" max="13587" width="18" customWidth="1"/>
    <col min="13825" max="13825" width="13" customWidth="1"/>
    <col min="13826" max="13826" width="27" customWidth="1"/>
    <col min="13827" max="13827" width="13.140625" customWidth="1"/>
    <col min="13829" max="13829" width="14.42578125" customWidth="1"/>
    <col min="13831" max="13831" width="12.7109375" customWidth="1"/>
    <col min="13833" max="13833" width="14" customWidth="1"/>
    <col min="13835" max="13835" width="12.85546875" customWidth="1"/>
    <col min="13837" max="13837" width="12.7109375" customWidth="1"/>
    <col min="13838" max="13838" width="14.140625" customWidth="1"/>
    <col min="13839" max="13839" width="13.5703125" customWidth="1"/>
    <col min="13840" max="13840" width="22" customWidth="1"/>
    <col min="13841" max="13841" width="24" customWidth="1"/>
    <col min="13842" max="13842" width="13.28515625" customWidth="1"/>
    <col min="13843" max="13843" width="18" customWidth="1"/>
    <col min="14081" max="14081" width="13" customWidth="1"/>
    <col min="14082" max="14082" width="27" customWidth="1"/>
    <col min="14083" max="14083" width="13.140625" customWidth="1"/>
    <col min="14085" max="14085" width="14.42578125" customWidth="1"/>
    <col min="14087" max="14087" width="12.7109375" customWidth="1"/>
    <col min="14089" max="14089" width="14" customWidth="1"/>
    <col min="14091" max="14091" width="12.85546875" customWidth="1"/>
    <col min="14093" max="14093" width="12.7109375" customWidth="1"/>
    <col min="14094" max="14094" width="14.140625" customWidth="1"/>
    <col min="14095" max="14095" width="13.5703125" customWidth="1"/>
    <col min="14096" max="14096" width="22" customWidth="1"/>
    <col min="14097" max="14097" width="24" customWidth="1"/>
    <col min="14098" max="14098" width="13.28515625" customWidth="1"/>
    <col min="14099" max="14099" width="18" customWidth="1"/>
    <col min="14337" max="14337" width="13" customWidth="1"/>
    <col min="14338" max="14338" width="27" customWidth="1"/>
    <col min="14339" max="14339" width="13.140625" customWidth="1"/>
    <col min="14341" max="14341" width="14.42578125" customWidth="1"/>
    <col min="14343" max="14343" width="12.7109375" customWidth="1"/>
    <col min="14345" max="14345" width="14" customWidth="1"/>
    <col min="14347" max="14347" width="12.85546875" customWidth="1"/>
    <col min="14349" max="14349" width="12.7109375" customWidth="1"/>
    <col min="14350" max="14350" width="14.140625" customWidth="1"/>
    <col min="14351" max="14351" width="13.5703125" customWidth="1"/>
    <col min="14352" max="14352" width="22" customWidth="1"/>
    <col min="14353" max="14353" width="24" customWidth="1"/>
    <col min="14354" max="14354" width="13.28515625" customWidth="1"/>
    <col min="14355" max="14355" width="18" customWidth="1"/>
    <col min="14593" max="14593" width="13" customWidth="1"/>
    <col min="14594" max="14594" width="27" customWidth="1"/>
    <col min="14595" max="14595" width="13.140625" customWidth="1"/>
    <col min="14597" max="14597" width="14.42578125" customWidth="1"/>
    <col min="14599" max="14599" width="12.7109375" customWidth="1"/>
    <col min="14601" max="14601" width="14" customWidth="1"/>
    <col min="14603" max="14603" width="12.85546875" customWidth="1"/>
    <col min="14605" max="14605" width="12.7109375" customWidth="1"/>
    <col min="14606" max="14606" width="14.140625" customWidth="1"/>
    <col min="14607" max="14607" width="13.5703125" customWidth="1"/>
    <col min="14608" max="14608" width="22" customWidth="1"/>
    <col min="14609" max="14609" width="24" customWidth="1"/>
    <col min="14610" max="14610" width="13.28515625" customWidth="1"/>
    <col min="14611" max="14611" width="18" customWidth="1"/>
    <col min="14849" max="14849" width="13" customWidth="1"/>
    <col min="14850" max="14850" width="27" customWidth="1"/>
    <col min="14851" max="14851" width="13.140625" customWidth="1"/>
    <col min="14853" max="14853" width="14.42578125" customWidth="1"/>
    <col min="14855" max="14855" width="12.7109375" customWidth="1"/>
    <col min="14857" max="14857" width="14" customWidth="1"/>
    <col min="14859" max="14859" width="12.85546875" customWidth="1"/>
    <col min="14861" max="14861" width="12.7109375" customWidth="1"/>
    <col min="14862" max="14862" width="14.140625" customWidth="1"/>
    <col min="14863" max="14863" width="13.5703125" customWidth="1"/>
    <col min="14864" max="14864" width="22" customWidth="1"/>
    <col min="14865" max="14865" width="24" customWidth="1"/>
    <col min="14866" max="14866" width="13.28515625" customWidth="1"/>
    <col min="14867" max="14867" width="18" customWidth="1"/>
    <col min="15105" max="15105" width="13" customWidth="1"/>
    <col min="15106" max="15106" width="27" customWidth="1"/>
    <col min="15107" max="15107" width="13.140625" customWidth="1"/>
    <col min="15109" max="15109" width="14.42578125" customWidth="1"/>
    <col min="15111" max="15111" width="12.7109375" customWidth="1"/>
    <col min="15113" max="15113" width="14" customWidth="1"/>
    <col min="15115" max="15115" width="12.85546875" customWidth="1"/>
    <col min="15117" max="15117" width="12.7109375" customWidth="1"/>
    <col min="15118" max="15118" width="14.140625" customWidth="1"/>
    <col min="15119" max="15119" width="13.5703125" customWidth="1"/>
    <col min="15120" max="15120" width="22" customWidth="1"/>
    <col min="15121" max="15121" width="24" customWidth="1"/>
    <col min="15122" max="15122" width="13.28515625" customWidth="1"/>
    <col min="15123" max="15123" width="18" customWidth="1"/>
    <col min="15361" max="15361" width="13" customWidth="1"/>
    <col min="15362" max="15362" width="27" customWidth="1"/>
    <col min="15363" max="15363" width="13.140625" customWidth="1"/>
    <col min="15365" max="15365" width="14.42578125" customWidth="1"/>
    <col min="15367" max="15367" width="12.7109375" customWidth="1"/>
    <col min="15369" max="15369" width="14" customWidth="1"/>
    <col min="15371" max="15371" width="12.85546875" customWidth="1"/>
    <col min="15373" max="15373" width="12.7109375" customWidth="1"/>
    <col min="15374" max="15374" width="14.140625" customWidth="1"/>
    <col min="15375" max="15375" width="13.5703125" customWidth="1"/>
    <col min="15376" max="15376" width="22" customWidth="1"/>
    <col min="15377" max="15377" width="24" customWidth="1"/>
    <col min="15378" max="15378" width="13.28515625" customWidth="1"/>
    <col min="15379" max="15379" width="18" customWidth="1"/>
    <col min="15617" max="15617" width="13" customWidth="1"/>
    <col min="15618" max="15618" width="27" customWidth="1"/>
    <col min="15619" max="15619" width="13.140625" customWidth="1"/>
    <col min="15621" max="15621" width="14.42578125" customWidth="1"/>
    <col min="15623" max="15623" width="12.7109375" customWidth="1"/>
    <col min="15625" max="15625" width="14" customWidth="1"/>
    <col min="15627" max="15627" width="12.85546875" customWidth="1"/>
    <col min="15629" max="15629" width="12.7109375" customWidth="1"/>
    <col min="15630" max="15630" width="14.140625" customWidth="1"/>
    <col min="15631" max="15631" width="13.5703125" customWidth="1"/>
    <col min="15632" max="15632" width="22" customWidth="1"/>
    <col min="15633" max="15633" width="24" customWidth="1"/>
    <col min="15634" max="15634" width="13.28515625" customWidth="1"/>
    <col min="15635" max="15635" width="18" customWidth="1"/>
    <col min="15873" max="15873" width="13" customWidth="1"/>
    <col min="15874" max="15874" width="27" customWidth="1"/>
    <col min="15875" max="15875" width="13.140625" customWidth="1"/>
    <col min="15877" max="15877" width="14.42578125" customWidth="1"/>
    <col min="15879" max="15879" width="12.7109375" customWidth="1"/>
    <col min="15881" max="15881" width="14" customWidth="1"/>
    <col min="15883" max="15883" width="12.85546875" customWidth="1"/>
    <col min="15885" max="15885" width="12.7109375" customWidth="1"/>
    <col min="15886" max="15886" width="14.140625" customWidth="1"/>
    <col min="15887" max="15887" width="13.5703125" customWidth="1"/>
    <col min="15888" max="15888" width="22" customWidth="1"/>
    <col min="15889" max="15889" width="24" customWidth="1"/>
    <col min="15890" max="15890" width="13.28515625" customWidth="1"/>
    <col min="15891" max="15891" width="18" customWidth="1"/>
    <col min="16129" max="16129" width="13" customWidth="1"/>
    <col min="16130" max="16130" width="27" customWidth="1"/>
    <col min="16131" max="16131" width="13.140625" customWidth="1"/>
    <col min="16133" max="16133" width="14.42578125" customWidth="1"/>
    <col min="16135" max="16135" width="12.7109375" customWidth="1"/>
    <col min="16137" max="16137" width="14" customWidth="1"/>
    <col min="16139" max="16139" width="12.85546875" customWidth="1"/>
    <col min="16141" max="16141" width="12.7109375" customWidth="1"/>
    <col min="16142" max="16142" width="14.140625" customWidth="1"/>
    <col min="16143" max="16143" width="13.5703125" customWidth="1"/>
    <col min="16144" max="16144" width="22" customWidth="1"/>
    <col min="16145" max="16145" width="24" customWidth="1"/>
    <col min="16146" max="16146" width="13.28515625" customWidth="1"/>
    <col min="16147" max="16147" width="18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1000</v>
      </c>
      <c r="B6">
        <v>0</v>
      </c>
      <c r="C6">
        <v>894.48771999999997</v>
      </c>
      <c r="D6">
        <v>0</v>
      </c>
      <c r="E6">
        <v>698.3178999999999</v>
      </c>
      <c r="F6">
        <v>0</v>
      </c>
      <c r="G6">
        <v>286.13423999999998</v>
      </c>
      <c r="H6">
        <v>2</v>
      </c>
      <c r="I6">
        <v>106.55301012253589</v>
      </c>
      <c r="J6">
        <v>1</v>
      </c>
      <c r="K6">
        <v>42.66724</v>
      </c>
      <c r="L6">
        <v>3</v>
      </c>
      <c r="M6">
        <v>19.060131999999999</v>
      </c>
      <c r="N6">
        <v>1</v>
      </c>
      <c r="O6">
        <v>8.7368385999999987</v>
      </c>
      <c r="P6" s="3">
        <f>(B6*C6)+(D6*E6)+(F6*G6)+(H6*I6)+(J6*K6)+(L6*M6)+(N6*O6)</f>
        <v>321.69049484507178</v>
      </c>
    </row>
    <row r="7" spans="1:19" x14ac:dyDescent="0.2">
      <c r="A7">
        <v>2000</v>
      </c>
      <c r="B7">
        <v>7</v>
      </c>
      <c r="C7">
        <v>894.48771999999997</v>
      </c>
      <c r="D7">
        <v>8</v>
      </c>
      <c r="E7">
        <v>698.3178999999999</v>
      </c>
      <c r="F7">
        <v>8</v>
      </c>
      <c r="G7">
        <v>286.13423999999998</v>
      </c>
      <c r="H7">
        <v>24</v>
      </c>
      <c r="I7">
        <v>106.55301012253589</v>
      </c>
      <c r="J7">
        <v>41</v>
      </c>
      <c r="K7">
        <v>42.66724</v>
      </c>
      <c r="L7">
        <v>35</v>
      </c>
      <c r="M7">
        <v>19.060131999999999</v>
      </c>
      <c r="N7">
        <v>17</v>
      </c>
      <c r="O7">
        <v>8.7368385999999987</v>
      </c>
      <c r="P7" s="3">
        <f t="shared" ref="P7:P21" si="0">(B7*C7)+(D7*E7)+(F7*G7)+(H7*I7)+(J7*K7)+(L7*M7)+(N7*O7)</f>
        <v>19259.291119140857</v>
      </c>
    </row>
    <row r="8" spans="1:19" x14ac:dyDescent="0.2">
      <c r="A8">
        <v>3000</v>
      </c>
      <c r="B8">
        <v>30</v>
      </c>
      <c r="C8">
        <v>894.48771999999997</v>
      </c>
      <c r="D8">
        <v>16</v>
      </c>
      <c r="E8">
        <v>698.3178999999999</v>
      </c>
      <c r="F8">
        <v>31</v>
      </c>
      <c r="G8">
        <v>286.13423999999998</v>
      </c>
      <c r="H8">
        <v>72</v>
      </c>
      <c r="I8">
        <v>106.55301012253589</v>
      </c>
      <c r="J8">
        <v>110</v>
      </c>
      <c r="K8">
        <v>42.66724</v>
      </c>
      <c r="L8">
        <v>144</v>
      </c>
      <c r="M8">
        <v>19.060131999999999</v>
      </c>
      <c r="N8">
        <v>86</v>
      </c>
      <c r="O8">
        <v>8.7368385999999987</v>
      </c>
      <c r="P8" s="3">
        <f t="shared" si="0"/>
        <v>62739.119696422589</v>
      </c>
    </row>
    <row r="9" spans="1:19" x14ac:dyDescent="0.2">
      <c r="A9">
        <v>4000</v>
      </c>
      <c r="B9">
        <v>11</v>
      </c>
      <c r="C9">
        <v>894.48771999999997</v>
      </c>
      <c r="D9">
        <v>13</v>
      </c>
      <c r="E9">
        <v>698.3178999999999</v>
      </c>
      <c r="F9">
        <v>25</v>
      </c>
      <c r="G9">
        <v>286.13423999999998</v>
      </c>
      <c r="H9">
        <v>48</v>
      </c>
      <c r="I9">
        <v>106.55301012253589</v>
      </c>
      <c r="J9">
        <v>89</v>
      </c>
      <c r="K9">
        <v>42.66724</v>
      </c>
      <c r="L9">
        <v>107</v>
      </c>
      <c r="M9">
        <v>19.060131999999999</v>
      </c>
      <c r="N9">
        <v>75</v>
      </c>
      <c r="O9">
        <v>8.7368385999999987</v>
      </c>
      <c r="P9" s="3">
        <f t="shared" si="0"/>
        <v>37677.479484881726</v>
      </c>
    </row>
    <row r="10" spans="1:19" x14ac:dyDescent="0.2">
      <c r="A10">
        <v>5000</v>
      </c>
      <c r="B10">
        <v>44</v>
      </c>
      <c r="C10">
        <v>894.48771999999997</v>
      </c>
      <c r="D10">
        <v>105</v>
      </c>
      <c r="E10">
        <v>698.3178999999999</v>
      </c>
      <c r="F10">
        <v>277</v>
      </c>
      <c r="G10">
        <v>286.13423999999998</v>
      </c>
      <c r="H10">
        <v>679</v>
      </c>
      <c r="I10">
        <v>106.55301012253589</v>
      </c>
      <c r="J10">
        <v>1096</v>
      </c>
      <c r="K10">
        <v>42.66724</v>
      </c>
      <c r="L10">
        <v>1154</v>
      </c>
      <c r="M10">
        <v>19.060131999999999</v>
      </c>
      <c r="N10">
        <v>649</v>
      </c>
      <c r="O10">
        <v>8.7368385999999987</v>
      </c>
      <c r="P10" s="3">
        <f t="shared" si="0"/>
        <v>338718.41315260186</v>
      </c>
    </row>
    <row r="11" spans="1:19" x14ac:dyDescent="0.2">
      <c r="A11">
        <v>10000</v>
      </c>
      <c r="B11">
        <v>10</v>
      </c>
      <c r="C11">
        <v>894.48771999999997</v>
      </c>
      <c r="D11">
        <v>22</v>
      </c>
      <c r="E11">
        <v>698.3178999999999</v>
      </c>
      <c r="F11">
        <v>84</v>
      </c>
      <c r="G11">
        <v>286.13423999999998</v>
      </c>
      <c r="H11">
        <v>234</v>
      </c>
      <c r="I11">
        <v>106.55301012253589</v>
      </c>
      <c r="J11">
        <v>500</v>
      </c>
      <c r="K11">
        <v>42.66724</v>
      </c>
      <c r="L11">
        <v>517</v>
      </c>
      <c r="M11">
        <v>19.060131999999999</v>
      </c>
      <c r="N11">
        <v>332</v>
      </c>
      <c r="O11">
        <v>8.7368385999999987</v>
      </c>
      <c r="P11" s="3">
        <f t="shared" si="0"/>
        <v>107364.89018787337</v>
      </c>
    </row>
    <row r="12" spans="1:19" x14ac:dyDescent="0.2">
      <c r="A12">
        <v>15000</v>
      </c>
      <c r="B12">
        <v>1</v>
      </c>
      <c r="C12">
        <v>894.48771999999997</v>
      </c>
      <c r="D12">
        <v>18</v>
      </c>
      <c r="E12">
        <v>698.3178999999999</v>
      </c>
      <c r="F12">
        <v>49</v>
      </c>
      <c r="G12">
        <v>286.13423999999998</v>
      </c>
      <c r="H12">
        <v>142</v>
      </c>
      <c r="I12">
        <v>106.55301012253589</v>
      </c>
      <c r="J12">
        <v>262</v>
      </c>
      <c r="K12">
        <v>42.66724</v>
      </c>
      <c r="L12">
        <v>314</v>
      </c>
      <c r="M12">
        <v>19.060131999999999</v>
      </c>
      <c r="N12">
        <v>185</v>
      </c>
      <c r="O12">
        <v>8.7368385999999987</v>
      </c>
      <c r="P12" s="3">
        <f t="shared" si="0"/>
        <v>61395.328586400086</v>
      </c>
      <c r="Q12" s="3">
        <f t="shared" ref="Q12:Q19" si="1">Q13+P12</f>
        <v>200327.50628394113</v>
      </c>
      <c r="R12">
        <v>3266000</v>
      </c>
      <c r="S12" s="21">
        <f t="shared" ref="S12:S20" si="2">(Q12/R12)*100</f>
        <v>6.1337264630722945</v>
      </c>
    </row>
    <row r="13" spans="1:19" x14ac:dyDescent="0.2">
      <c r="A13">
        <v>20000</v>
      </c>
      <c r="B13">
        <v>3</v>
      </c>
      <c r="C13">
        <v>894.48771999999997</v>
      </c>
      <c r="D13">
        <v>7</v>
      </c>
      <c r="E13">
        <v>698.3178999999999</v>
      </c>
      <c r="F13">
        <v>20</v>
      </c>
      <c r="G13">
        <v>286.13423999999998</v>
      </c>
      <c r="H13">
        <v>75</v>
      </c>
      <c r="I13">
        <v>106.55301012253589</v>
      </c>
      <c r="J13">
        <v>185</v>
      </c>
      <c r="K13">
        <v>42.66724</v>
      </c>
      <c r="L13">
        <v>188</v>
      </c>
      <c r="M13">
        <v>19.060131999999999</v>
      </c>
      <c r="N13">
        <v>141</v>
      </c>
      <c r="O13">
        <v>8.7368385999999987</v>
      </c>
      <c r="P13" s="3">
        <f t="shared" si="0"/>
        <v>33994.487477790193</v>
      </c>
      <c r="Q13" s="3">
        <f t="shared" si="1"/>
        <v>138932.17769754105</v>
      </c>
      <c r="R13">
        <v>3266000</v>
      </c>
      <c r="S13" s="21">
        <f t="shared" si="2"/>
        <v>4.253893989514423</v>
      </c>
    </row>
    <row r="14" spans="1:19" x14ac:dyDescent="0.2">
      <c r="A14">
        <v>25000</v>
      </c>
      <c r="B14">
        <v>1</v>
      </c>
      <c r="C14">
        <v>894.48771999999997</v>
      </c>
      <c r="D14">
        <v>9</v>
      </c>
      <c r="E14">
        <v>698.3178999999999</v>
      </c>
      <c r="F14">
        <v>26</v>
      </c>
      <c r="G14">
        <v>286.13423999999998</v>
      </c>
      <c r="H14">
        <v>64</v>
      </c>
      <c r="I14">
        <v>106.55301012253589</v>
      </c>
      <c r="J14">
        <v>108</v>
      </c>
      <c r="K14">
        <v>42.66724</v>
      </c>
      <c r="L14">
        <v>166</v>
      </c>
      <c r="M14">
        <v>19.060131999999999</v>
      </c>
      <c r="N14">
        <v>76</v>
      </c>
      <c r="O14">
        <v>8.7368385999999987</v>
      </c>
      <c r="P14" s="3">
        <f t="shared" si="0"/>
        <v>29874.275273442297</v>
      </c>
      <c r="Q14" s="3">
        <f t="shared" si="1"/>
        <v>104937.69021975086</v>
      </c>
      <c r="R14">
        <v>3266000</v>
      </c>
      <c r="S14" s="21">
        <f t="shared" si="2"/>
        <v>3.2130339932563032</v>
      </c>
    </row>
    <row r="15" spans="1:19" x14ac:dyDescent="0.2">
      <c r="A15">
        <v>30000</v>
      </c>
      <c r="B15">
        <v>0</v>
      </c>
      <c r="C15">
        <v>894.48771999999997</v>
      </c>
      <c r="D15">
        <v>8</v>
      </c>
      <c r="E15">
        <v>698.3178999999999</v>
      </c>
      <c r="F15">
        <v>38</v>
      </c>
      <c r="G15">
        <v>286.13423999999998</v>
      </c>
      <c r="H15">
        <v>75</v>
      </c>
      <c r="I15">
        <v>106.55301012253589</v>
      </c>
      <c r="J15">
        <v>131</v>
      </c>
      <c r="K15">
        <v>42.66724</v>
      </c>
      <c r="L15">
        <v>194</v>
      </c>
      <c r="M15">
        <v>19.060131999999999</v>
      </c>
      <c r="N15">
        <v>122</v>
      </c>
      <c r="O15">
        <v>8.7368385999999987</v>
      </c>
      <c r="P15" s="3">
        <f t="shared" si="0"/>
        <v>34804.088436390193</v>
      </c>
      <c r="Q15" s="3">
        <f t="shared" si="1"/>
        <v>75063.414946308563</v>
      </c>
      <c r="R15">
        <v>3266000</v>
      </c>
      <c r="S15" s="21">
        <f t="shared" si="2"/>
        <v>2.2983286878845242</v>
      </c>
    </row>
    <row r="16" spans="1:19" x14ac:dyDescent="0.2">
      <c r="A16">
        <v>40000</v>
      </c>
      <c r="B16">
        <v>0</v>
      </c>
      <c r="C16">
        <v>894.48771999999997</v>
      </c>
      <c r="D16">
        <v>3</v>
      </c>
      <c r="E16">
        <v>698.3178999999999</v>
      </c>
      <c r="F16">
        <v>9</v>
      </c>
      <c r="G16">
        <v>286.13423999999998</v>
      </c>
      <c r="H16">
        <v>42</v>
      </c>
      <c r="I16">
        <v>106.55301012253589</v>
      </c>
      <c r="J16">
        <v>79</v>
      </c>
      <c r="K16">
        <v>42.66724</v>
      </c>
      <c r="L16">
        <v>79</v>
      </c>
      <c r="M16">
        <v>19.060131999999999</v>
      </c>
      <c r="N16">
        <v>58</v>
      </c>
      <c r="O16">
        <v>8.7368385999999987</v>
      </c>
      <c r="P16" s="3">
        <f t="shared" si="0"/>
        <v>14528.587311946505</v>
      </c>
      <c r="Q16" s="3">
        <f t="shared" si="1"/>
        <v>40259.32650991837</v>
      </c>
      <c r="R16">
        <v>3266000</v>
      </c>
      <c r="S16" s="21">
        <f t="shared" si="2"/>
        <v>1.2326799298811504</v>
      </c>
    </row>
    <row r="17" spans="1:21" x14ac:dyDescent="0.2">
      <c r="A17">
        <v>50000</v>
      </c>
      <c r="B17">
        <v>0</v>
      </c>
      <c r="C17">
        <v>894.48771999999997</v>
      </c>
      <c r="D17">
        <v>3</v>
      </c>
      <c r="E17">
        <v>698.3178999999999</v>
      </c>
      <c r="F17">
        <v>11</v>
      </c>
      <c r="G17">
        <v>286.13423999999998</v>
      </c>
      <c r="H17">
        <v>23</v>
      </c>
      <c r="I17">
        <v>106.55301012253589</v>
      </c>
      <c r="J17">
        <v>40</v>
      </c>
      <c r="K17">
        <v>42.66724</v>
      </c>
      <c r="L17">
        <v>61</v>
      </c>
      <c r="M17">
        <v>19.060131999999999</v>
      </c>
      <c r="N17">
        <v>40</v>
      </c>
      <c r="O17">
        <v>8.7368385999999987</v>
      </c>
      <c r="P17" s="3">
        <f t="shared" si="0"/>
        <v>10911.980768818325</v>
      </c>
      <c r="Q17" s="3">
        <f t="shared" si="1"/>
        <v>25730.739197971863</v>
      </c>
      <c r="R17">
        <v>3266000</v>
      </c>
      <c r="S17" s="21">
        <f t="shared" si="2"/>
        <v>0.78783647268744228</v>
      </c>
    </row>
    <row r="18" spans="1:21" x14ac:dyDescent="0.2">
      <c r="A18">
        <v>60000</v>
      </c>
      <c r="B18">
        <v>0</v>
      </c>
      <c r="C18">
        <v>894.48771999999997</v>
      </c>
      <c r="D18">
        <v>1</v>
      </c>
      <c r="E18">
        <v>698.3178999999999</v>
      </c>
      <c r="F18">
        <v>0</v>
      </c>
      <c r="G18">
        <v>286.13423999999998</v>
      </c>
      <c r="H18">
        <v>4</v>
      </c>
      <c r="I18">
        <v>106.55301012253589</v>
      </c>
      <c r="J18">
        <v>23</v>
      </c>
      <c r="K18">
        <v>42.66724</v>
      </c>
      <c r="L18">
        <v>29</v>
      </c>
      <c r="M18">
        <v>19.060131999999999</v>
      </c>
      <c r="N18">
        <v>35</v>
      </c>
      <c r="O18">
        <v>8.7368385999999987</v>
      </c>
      <c r="P18" s="3">
        <f t="shared" si="0"/>
        <v>2964.4096394901435</v>
      </c>
      <c r="Q18" s="3">
        <f t="shared" si="1"/>
        <v>14818.758429153539</v>
      </c>
      <c r="R18">
        <v>3266000</v>
      </c>
      <c r="S18" s="21">
        <f t="shared" si="2"/>
        <v>0.45372805968014507</v>
      </c>
    </row>
    <row r="19" spans="1:21" x14ac:dyDescent="0.2">
      <c r="A19">
        <v>70000</v>
      </c>
      <c r="B19">
        <v>0</v>
      </c>
      <c r="C19">
        <v>894.48771999999997</v>
      </c>
      <c r="D19">
        <v>1</v>
      </c>
      <c r="E19">
        <v>698.3178999999999</v>
      </c>
      <c r="F19">
        <v>6</v>
      </c>
      <c r="G19">
        <v>286.13423999999998</v>
      </c>
      <c r="H19">
        <v>11</v>
      </c>
      <c r="I19">
        <v>106.55301012253589</v>
      </c>
      <c r="J19">
        <v>24</v>
      </c>
      <c r="K19">
        <v>42.66724</v>
      </c>
      <c r="L19">
        <v>58</v>
      </c>
      <c r="M19">
        <v>19.060131999999999</v>
      </c>
      <c r="N19">
        <v>34</v>
      </c>
      <c r="O19">
        <v>8.7368385999999987</v>
      </c>
      <c r="P19" s="3">
        <f t="shared" si="0"/>
        <v>6013.7603797478941</v>
      </c>
      <c r="Q19" s="3">
        <f t="shared" si="1"/>
        <v>11854.348789663396</v>
      </c>
      <c r="R19">
        <v>3266000</v>
      </c>
      <c r="S19" s="21">
        <f t="shared" si="2"/>
        <v>0.36296230219422526</v>
      </c>
    </row>
    <row r="20" spans="1:21" x14ac:dyDescent="0.2">
      <c r="A20" t="s">
        <v>4</v>
      </c>
      <c r="B20">
        <v>0</v>
      </c>
      <c r="C20">
        <v>894.48771999999997</v>
      </c>
      <c r="D20">
        <v>1</v>
      </c>
      <c r="E20">
        <v>698.3178999999999</v>
      </c>
      <c r="F20">
        <v>2</v>
      </c>
      <c r="G20">
        <v>286.13423999999998</v>
      </c>
      <c r="H20">
        <v>14</v>
      </c>
      <c r="I20">
        <v>106.55301012253589</v>
      </c>
      <c r="J20">
        <v>40</v>
      </c>
      <c r="K20">
        <v>42.66724</v>
      </c>
      <c r="L20">
        <v>55</v>
      </c>
      <c r="M20">
        <v>19.060131999999999</v>
      </c>
      <c r="N20">
        <v>37</v>
      </c>
      <c r="O20">
        <v>8.7368385999999987</v>
      </c>
      <c r="P20" s="3">
        <f t="shared" si="0"/>
        <v>5840.5884099155019</v>
      </c>
      <c r="Q20" s="3">
        <f>P20</f>
        <v>5840.5884099155019</v>
      </c>
      <c r="R20">
        <v>3266000</v>
      </c>
      <c r="S20" s="21">
        <f t="shared" si="2"/>
        <v>0.17883001867469386</v>
      </c>
    </row>
    <row r="21" spans="1:21" x14ac:dyDescent="0.2">
      <c r="A21" t="s">
        <v>3</v>
      </c>
      <c r="B21">
        <f t="shared" ref="B21:N21" si="3">SUM(B6:B20)</f>
        <v>107</v>
      </c>
      <c r="C21">
        <v>894.48771999999997</v>
      </c>
      <c r="D21">
        <f t="shared" si="3"/>
        <v>215</v>
      </c>
      <c r="E21">
        <v>698.3178999999999</v>
      </c>
      <c r="F21">
        <f t="shared" si="3"/>
        <v>586</v>
      </c>
      <c r="G21">
        <v>286.13423999999998</v>
      </c>
      <c r="H21">
        <f t="shared" si="3"/>
        <v>1509</v>
      </c>
      <c r="I21">
        <v>106.55301012253589</v>
      </c>
      <c r="J21">
        <f t="shared" si="3"/>
        <v>2729</v>
      </c>
      <c r="K21">
        <v>42.66724</v>
      </c>
      <c r="L21">
        <f t="shared" si="3"/>
        <v>3104</v>
      </c>
      <c r="M21">
        <v>19.060131999999999</v>
      </c>
      <c r="N21">
        <f t="shared" si="3"/>
        <v>1888</v>
      </c>
      <c r="O21">
        <v>8.7368385999999987</v>
      </c>
      <c r="P21" s="3">
        <f t="shared" si="0"/>
        <v>766408.39041970659</v>
      </c>
    </row>
    <row r="26" spans="1:21" x14ac:dyDescent="0.2">
      <c r="A26" s="19"/>
    </row>
    <row r="27" spans="1:21" x14ac:dyDescent="0.2">
      <c r="A27" s="19"/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s="5" t="s">
        <v>4</v>
      </c>
      <c r="B32" s="14">
        <v>5.0000000000000001E-4</v>
      </c>
      <c r="C32" s="4" t="s">
        <v>69</v>
      </c>
      <c r="K32" s="4">
        <v>1.9846172316549311</v>
      </c>
      <c r="L32" s="4">
        <v>4126.4068304150778</v>
      </c>
      <c r="M32" s="20">
        <f t="shared" ref="M32:M37" si="4">POWER(B32,1/K32)</f>
        <v>2.1711601551266196E-2</v>
      </c>
      <c r="N32" s="8">
        <f t="shared" ref="N32:N37" si="5">L32/M32</f>
        <v>190055.38677889149</v>
      </c>
      <c r="O32" s="5">
        <f t="shared" ref="O32:O37" si="6">R12</f>
        <v>3266000</v>
      </c>
      <c r="P32" s="8">
        <f>O32*(K32/(1-K32))*POWER(L32,K32)*(-1)*POWER(N32,1-K32)</f>
        <v>625569683.89727724</v>
      </c>
      <c r="Q32" s="9">
        <f t="shared" ref="Q32:Q37" si="7">B32*O32</f>
        <v>1633</v>
      </c>
      <c r="R32" s="8">
        <f t="shared" ref="R32:R37" si="8">P32/Q32</f>
        <v>383080.02688136999</v>
      </c>
      <c r="S32" s="4">
        <f t="shared" ref="S32:S37" si="9">P32*20.5805*1.23</f>
        <v>15835680361.720934</v>
      </c>
      <c r="T32" s="2"/>
      <c r="U32" s="10"/>
    </row>
    <row r="33" spans="1:21" ht="15" x14ac:dyDescent="0.25">
      <c r="A33" s="5" t="s">
        <v>4</v>
      </c>
      <c r="B33" s="14">
        <v>1E-3</v>
      </c>
      <c r="C33" s="4" t="s">
        <v>69</v>
      </c>
      <c r="K33" s="4">
        <v>1.9846172316549311</v>
      </c>
      <c r="L33" s="4">
        <v>4126.4068304150778</v>
      </c>
      <c r="M33" s="20">
        <f t="shared" si="4"/>
        <v>3.0787434427100135E-2</v>
      </c>
      <c r="N33" s="8">
        <f t="shared" si="5"/>
        <v>134028.92794415099</v>
      </c>
      <c r="O33" s="5">
        <f t="shared" si="6"/>
        <v>3266000</v>
      </c>
      <c r="P33" s="8">
        <f>O33*(K33/(1-K33))*POWER(L33,K33)*(POWER(N32,1-K33)-POWER(N33,1-K33))+P32</f>
        <v>882315787.07797742</v>
      </c>
      <c r="Q33" s="9">
        <f t="shared" si="7"/>
        <v>3266</v>
      </c>
      <c r="R33" s="8">
        <f t="shared" si="8"/>
        <v>270151.80253459199</v>
      </c>
      <c r="S33" s="4">
        <f t="shared" si="9"/>
        <v>22334955068.828724</v>
      </c>
      <c r="T33" s="2"/>
      <c r="U33" s="10"/>
    </row>
    <row r="34" spans="1:21" ht="15" x14ac:dyDescent="0.25">
      <c r="A34" s="5" t="s">
        <v>59</v>
      </c>
      <c r="B34" s="14">
        <v>2.5000000000000001E-3</v>
      </c>
      <c r="C34">
        <f>S20/100</f>
        <v>1.7883001867469387E-3</v>
      </c>
      <c r="D34">
        <f>S19/100</f>
        <v>3.6296230219422525E-3</v>
      </c>
      <c r="E34">
        <v>100000</v>
      </c>
      <c r="F34">
        <v>70000</v>
      </c>
      <c r="G34">
        <f>D34/C34</f>
        <v>2.0296497471964301</v>
      </c>
      <c r="H34">
        <f>LN(G34)</f>
        <v>0.70786323984036481</v>
      </c>
      <c r="I34">
        <f>E34/F34</f>
        <v>1.4285714285714286</v>
      </c>
      <c r="J34">
        <f>LN(I34)</f>
        <v>0.35667494393873239</v>
      </c>
      <c r="K34" s="4">
        <f>H34/J34</f>
        <v>1.9846172316549311</v>
      </c>
      <c r="L34" s="4">
        <f>F34*POWER(D34,1/K34)</f>
        <v>4126.4068304150778</v>
      </c>
      <c r="M34" s="20">
        <f t="shared" si="4"/>
        <v>4.8852379336837039E-2</v>
      </c>
      <c r="N34" s="8">
        <f t="shared" si="5"/>
        <v>84466.854765937038</v>
      </c>
      <c r="O34" s="5">
        <f t="shared" si="6"/>
        <v>3266000</v>
      </c>
      <c r="P34" s="8">
        <f>O34*(K34/(1-K34))*POWER(L34,K34)*(POWER(N33,1-K34)-POWER(N34,1-K34))+P33</f>
        <v>1390118547.3158364</v>
      </c>
      <c r="Q34" s="9">
        <f t="shared" si="7"/>
        <v>8165</v>
      </c>
      <c r="R34" s="8">
        <f t="shared" si="8"/>
        <v>170253.34321075768</v>
      </c>
      <c r="S34" s="4">
        <f t="shared" si="9"/>
        <v>35189481758.531296</v>
      </c>
      <c r="T34" s="2"/>
      <c r="U34" s="10"/>
    </row>
    <row r="35" spans="1:21" ht="15" x14ac:dyDescent="0.25">
      <c r="A35" s="5" t="s">
        <v>45</v>
      </c>
      <c r="B35" s="14">
        <v>5.0000000000000001E-3</v>
      </c>
      <c r="C35">
        <f>S18/100</f>
        <v>4.5372805968014506E-3</v>
      </c>
      <c r="D35">
        <f>S17/100</f>
        <v>7.8783647268744223E-3</v>
      </c>
      <c r="E35">
        <v>60000</v>
      </c>
      <c r="F35">
        <v>50000</v>
      </c>
      <c r="G35">
        <f>D35/C35</f>
        <v>1.7363626865899067</v>
      </c>
      <c r="H35">
        <f>LN(G35)</f>
        <v>0.55179251526395789</v>
      </c>
      <c r="I35">
        <f>E35/F35</f>
        <v>1.2</v>
      </c>
      <c r="J35">
        <f>LN(I35)</f>
        <v>0.18232155679395459</v>
      </c>
      <c r="K35" s="4">
        <f>H35/J35</f>
        <v>3.026479835774714</v>
      </c>
      <c r="L35" s="4">
        <f>F35*POWER(D35,1/K35)</f>
        <v>10090.600099964942</v>
      </c>
      <c r="M35" s="20">
        <f t="shared" si="4"/>
        <v>0.17366042791968647</v>
      </c>
      <c r="N35" s="8">
        <f t="shared" si="5"/>
        <v>58105.35088990791</v>
      </c>
      <c r="O35" s="5">
        <f t="shared" si="6"/>
        <v>3266000</v>
      </c>
      <c r="P35" s="8">
        <f>O35*(K35/(1-K35))*POWER(L35,K35)*(POWER(N34,1-K35)-POWER(N35,1-K35))+P34</f>
        <v>2143229413.522666</v>
      </c>
      <c r="Q35" s="9">
        <f t="shared" si="7"/>
        <v>16330</v>
      </c>
      <c r="R35" s="8">
        <f t="shared" si="8"/>
        <v>131244.91203445598</v>
      </c>
      <c r="S35" s="4">
        <f t="shared" si="9"/>
        <v>54253741522.353966</v>
      </c>
      <c r="T35" s="2"/>
      <c r="U35" s="10"/>
    </row>
    <row r="36" spans="1:21" ht="15" x14ac:dyDescent="0.25">
      <c r="A36" t="s">
        <v>65</v>
      </c>
      <c r="B36" s="14">
        <v>0.01</v>
      </c>
      <c r="C36">
        <f>S17/100</f>
        <v>7.8783647268744223E-3</v>
      </c>
      <c r="D36">
        <f>S16/100</f>
        <v>1.2326799298811504E-2</v>
      </c>
      <c r="E36">
        <v>50000</v>
      </c>
      <c r="F36">
        <v>40000</v>
      </c>
      <c r="G36">
        <f>D36/C36</f>
        <v>1.5646393288651295</v>
      </c>
      <c r="H36">
        <f>LN(G36)</f>
        <v>0.44765533664289342</v>
      </c>
      <c r="I36">
        <f>E36/F36</f>
        <v>1.25</v>
      </c>
      <c r="J36">
        <f>LN(I36)</f>
        <v>0.22314355131420976</v>
      </c>
      <c r="K36" s="4">
        <f>H36/J36</f>
        <v>2.0061316314382185</v>
      </c>
      <c r="L36" s="4">
        <f>F36*POWER(D36,1/K36)</f>
        <v>4470.9803333104674</v>
      </c>
      <c r="M36" s="20">
        <f t="shared" si="4"/>
        <v>0.10070625481904392</v>
      </c>
      <c r="N36" s="8">
        <f t="shared" si="5"/>
        <v>44396.252659223988</v>
      </c>
      <c r="O36" s="5">
        <f t="shared" si="6"/>
        <v>3266000</v>
      </c>
      <c r="P36" s="8">
        <f>O36*(K36/(1-K36))*POWER(L36,K36)*(POWER(N35,1-K36)-POWER(N36,1-K36))+P35</f>
        <v>2828989933.8647251</v>
      </c>
      <c r="Q36" s="9">
        <f t="shared" si="7"/>
        <v>32660</v>
      </c>
      <c r="R36" s="8">
        <f t="shared" si="8"/>
        <v>86619.410099960965</v>
      </c>
      <c r="S36" s="4">
        <f t="shared" si="9"/>
        <v>71613093620.700653</v>
      </c>
      <c r="T36" s="2"/>
      <c r="U36" s="10"/>
    </row>
    <row r="37" spans="1:21" ht="15" x14ac:dyDescent="0.25">
      <c r="A37" t="s">
        <v>46</v>
      </c>
      <c r="B37" s="14">
        <v>0.02</v>
      </c>
      <c r="C37">
        <f>S16/100</f>
        <v>1.2326799298811504E-2</v>
      </c>
      <c r="D37">
        <f>S15/100</f>
        <v>2.2983286878845242E-2</v>
      </c>
      <c r="E37">
        <v>40000</v>
      </c>
      <c r="F37">
        <v>30000</v>
      </c>
      <c r="G37">
        <f>D37/C37</f>
        <v>1.8644975327099864</v>
      </c>
      <c r="H37">
        <f>LN(G37)</f>
        <v>0.62299159733738418</v>
      </c>
      <c r="I37">
        <f>E37/F37</f>
        <v>1.3333333333333333</v>
      </c>
      <c r="J37">
        <f>LN(I37)</f>
        <v>0.28768207245178085</v>
      </c>
      <c r="K37" s="4">
        <f>H37/J37</f>
        <v>2.1655558583401318</v>
      </c>
      <c r="L37" s="4">
        <f>F37*POWER(D37,1/K37)</f>
        <v>5253.6605556407794</v>
      </c>
      <c r="M37" s="20">
        <f t="shared" si="4"/>
        <v>0.16423199870805508</v>
      </c>
      <c r="N37" s="8">
        <f t="shared" si="5"/>
        <v>31989.26273180102</v>
      </c>
      <c r="O37" s="5">
        <f t="shared" si="6"/>
        <v>3266000</v>
      </c>
      <c r="P37" s="8">
        <f>O37*(K37/(1-K37))*POWER(L37,K37)*(POWER(N36,1-K37)-POWER(N37,1-K37))+P36</f>
        <v>4061676281.7489548</v>
      </c>
      <c r="Q37" s="9">
        <f t="shared" si="7"/>
        <v>65320</v>
      </c>
      <c r="R37" s="8">
        <f t="shared" si="8"/>
        <v>62181.204558312231</v>
      </c>
      <c r="S37" s="4">
        <f t="shared" si="9"/>
        <v>102817334321.33727</v>
      </c>
      <c r="T37" s="2"/>
      <c r="U37" s="10"/>
    </row>
    <row r="45" spans="1:21" ht="15.75" x14ac:dyDescent="0.25">
      <c r="A45" s="1" t="s">
        <v>51</v>
      </c>
    </row>
    <row r="47" spans="1:21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1000</v>
      </c>
      <c r="B50">
        <v>0</v>
      </c>
      <c r="C50">
        <v>2136.3467999999998</v>
      </c>
      <c r="D50">
        <v>0</v>
      </c>
      <c r="E50">
        <v>1177.3722799999998</v>
      </c>
      <c r="F50">
        <v>1</v>
      </c>
      <c r="G50">
        <v>489.74435999999997</v>
      </c>
      <c r="H50">
        <v>0</v>
      </c>
      <c r="I50">
        <v>207.82047999999998</v>
      </c>
      <c r="J50">
        <v>1</v>
      </c>
      <c r="K50">
        <v>81.526745999999989</v>
      </c>
      <c r="L50">
        <v>1</v>
      </c>
      <c r="M50">
        <v>29.295055999999995</v>
      </c>
      <c r="N50">
        <v>0</v>
      </c>
      <c r="O50">
        <v>10.477746999999999</v>
      </c>
      <c r="P50" s="3">
        <f>(B50*C50)+(D50*E50)+(F50*G50)+(H50*I50)+(J50*K50)+(L50*M50)+(N50*O50)</f>
        <v>600.56616199999996</v>
      </c>
      <c r="Q50" s="3"/>
    </row>
    <row r="51" spans="1:19" x14ac:dyDescent="0.2">
      <c r="A51">
        <v>2000</v>
      </c>
      <c r="B51">
        <v>2</v>
      </c>
      <c r="C51">
        <v>2136.3467999999998</v>
      </c>
      <c r="D51">
        <v>3</v>
      </c>
      <c r="E51">
        <v>1177.3722799999998</v>
      </c>
      <c r="F51">
        <v>2</v>
      </c>
      <c r="G51">
        <v>489.74435999999997</v>
      </c>
      <c r="H51">
        <v>10</v>
      </c>
      <c r="I51">
        <v>207.82047999999998</v>
      </c>
      <c r="J51">
        <v>40</v>
      </c>
      <c r="K51">
        <v>81.526745999999989</v>
      </c>
      <c r="L51">
        <v>44</v>
      </c>
      <c r="M51">
        <v>29.295055999999995</v>
      </c>
      <c r="N51">
        <v>52</v>
      </c>
      <c r="O51">
        <v>10.477746999999999</v>
      </c>
      <c r="P51" s="3">
        <f t="shared" ref="P51:P65" si="10">(B51*C51)+(D51*E51)+(F51*G51)+(H51*I51)+(J51*K51)+(L51*M51)+(N51*O51)</f>
        <v>15957.399108</v>
      </c>
      <c r="Q51" s="3"/>
    </row>
    <row r="52" spans="1:19" x14ac:dyDescent="0.2">
      <c r="A52">
        <v>3000</v>
      </c>
      <c r="B52">
        <v>2</v>
      </c>
      <c r="C52">
        <v>2136.3467999999998</v>
      </c>
      <c r="D52">
        <v>5</v>
      </c>
      <c r="E52">
        <v>1177.3722799999998</v>
      </c>
      <c r="F52">
        <v>10</v>
      </c>
      <c r="G52">
        <v>489.74435999999997</v>
      </c>
      <c r="H52">
        <v>44</v>
      </c>
      <c r="I52">
        <v>207.82047999999998</v>
      </c>
      <c r="J52">
        <v>108</v>
      </c>
      <c r="K52">
        <v>81.526745999999989</v>
      </c>
      <c r="L52">
        <v>193</v>
      </c>
      <c r="M52">
        <v>29.295055999999995</v>
      </c>
      <c r="N52">
        <v>205</v>
      </c>
      <c r="O52">
        <v>10.477746999999999</v>
      </c>
      <c r="P52" s="3">
        <f t="shared" si="10"/>
        <v>40807.872230999987</v>
      </c>
      <c r="Q52" s="3"/>
    </row>
    <row r="53" spans="1:19" x14ac:dyDescent="0.2">
      <c r="A53">
        <v>4000</v>
      </c>
      <c r="B53">
        <v>3</v>
      </c>
      <c r="C53">
        <v>2136.3467999999998</v>
      </c>
      <c r="D53">
        <v>1</v>
      </c>
      <c r="E53">
        <v>1177.3722799999998</v>
      </c>
      <c r="F53">
        <v>8</v>
      </c>
      <c r="G53">
        <v>489.74435999999997</v>
      </c>
      <c r="H53">
        <v>29</v>
      </c>
      <c r="I53">
        <v>207.82047999999998</v>
      </c>
      <c r="J53">
        <v>86</v>
      </c>
      <c r="K53">
        <v>81.526745999999989</v>
      </c>
      <c r="L53">
        <v>140</v>
      </c>
      <c r="M53">
        <v>29.295055999999995</v>
      </c>
      <c r="N53">
        <v>142</v>
      </c>
      <c r="O53">
        <v>10.477746999999999</v>
      </c>
      <c r="P53" s="3">
        <f t="shared" si="10"/>
        <v>30131.609550000001</v>
      </c>
      <c r="Q53" s="3"/>
    </row>
    <row r="54" spans="1:19" x14ac:dyDescent="0.2">
      <c r="A54">
        <v>5000</v>
      </c>
      <c r="B54">
        <v>7</v>
      </c>
      <c r="C54">
        <v>2136.3467999999998</v>
      </c>
      <c r="D54">
        <v>19</v>
      </c>
      <c r="E54">
        <v>1177.3722799999998</v>
      </c>
      <c r="F54">
        <v>59</v>
      </c>
      <c r="G54">
        <v>489.74435999999997</v>
      </c>
      <c r="H54">
        <v>207</v>
      </c>
      <c r="I54">
        <v>207.82047999999998</v>
      </c>
      <c r="J54">
        <v>527</v>
      </c>
      <c r="K54">
        <v>81.526745999999989</v>
      </c>
      <c r="L54">
        <v>783</v>
      </c>
      <c r="M54">
        <v>29.295055999999995</v>
      </c>
      <c r="N54">
        <v>781</v>
      </c>
      <c r="O54">
        <v>10.477746999999999</v>
      </c>
      <c r="P54" s="3">
        <f t="shared" si="10"/>
        <v>183324.00191699999</v>
      </c>
      <c r="Q54" s="3">
        <f t="shared" ref="Q54:Q62" si="11">Q55+P54</f>
        <v>328391.85245999997</v>
      </c>
      <c r="R54">
        <v>3246900</v>
      </c>
      <c r="S54">
        <f>Q54/R54*100</f>
        <v>10.114011902430009</v>
      </c>
    </row>
    <row r="55" spans="1:19" x14ac:dyDescent="0.2">
      <c r="A55">
        <v>10000</v>
      </c>
      <c r="B55">
        <v>0</v>
      </c>
      <c r="C55">
        <v>2136.3467999999998</v>
      </c>
      <c r="D55">
        <v>1</v>
      </c>
      <c r="E55">
        <v>1177.3722799999998</v>
      </c>
      <c r="F55">
        <v>23</v>
      </c>
      <c r="G55">
        <v>489.74435999999997</v>
      </c>
      <c r="H55">
        <v>66</v>
      </c>
      <c r="I55">
        <v>207.82047999999998</v>
      </c>
      <c r="J55">
        <v>182</v>
      </c>
      <c r="K55">
        <v>81.526745999999989</v>
      </c>
      <c r="L55">
        <v>289</v>
      </c>
      <c r="M55">
        <v>29.295055999999995</v>
      </c>
      <c r="N55">
        <v>318</v>
      </c>
      <c r="O55">
        <v>10.477746999999999</v>
      </c>
      <c r="P55" s="3">
        <f t="shared" si="10"/>
        <v>52793.706741999988</v>
      </c>
      <c r="Q55" s="3">
        <f t="shared" si="11"/>
        <v>145067.85054299998</v>
      </c>
      <c r="R55">
        <v>3246900</v>
      </c>
      <c r="S55">
        <f>Q55/R55*100</f>
        <v>4.4678878481936604</v>
      </c>
    </row>
    <row r="56" spans="1:19" x14ac:dyDescent="0.2">
      <c r="A56">
        <v>15000</v>
      </c>
      <c r="B56">
        <v>2</v>
      </c>
      <c r="C56">
        <v>2136.3467999999998</v>
      </c>
      <c r="D56">
        <v>3</v>
      </c>
      <c r="E56">
        <v>1177.3722799999998</v>
      </c>
      <c r="F56">
        <v>10</v>
      </c>
      <c r="G56">
        <v>489.74435999999997</v>
      </c>
      <c r="H56">
        <v>32</v>
      </c>
      <c r="I56">
        <v>207.82047999999998</v>
      </c>
      <c r="J56">
        <v>94</v>
      </c>
      <c r="K56">
        <v>81.526745999999989</v>
      </c>
      <c r="L56">
        <v>147</v>
      </c>
      <c r="M56">
        <v>29.295055999999995</v>
      </c>
      <c r="N56">
        <v>174</v>
      </c>
      <c r="O56">
        <v>10.477746999999999</v>
      </c>
      <c r="P56" s="3">
        <f t="shared" si="10"/>
        <v>33145.524733999991</v>
      </c>
      <c r="Q56" s="3">
        <f t="shared" si="11"/>
        <v>92274.143800999984</v>
      </c>
      <c r="R56">
        <v>3246900</v>
      </c>
      <c r="S56">
        <f>Q56/R56*100</f>
        <v>2.841915174504912</v>
      </c>
    </row>
    <row r="57" spans="1:19" x14ac:dyDescent="0.2">
      <c r="A57">
        <v>20000</v>
      </c>
      <c r="B57">
        <v>0</v>
      </c>
      <c r="C57">
        <v>2136.3467999999998</v>
      </c>
      <c r="D57">
        <v>1</v>
      </c>
      <c r="E57">
        <v>1177.3722799999998</v>
      </c>
      <c r="F57">
        <v>7</v>
      </c>
      <c r="G57">
        <v>489.74435999999997</v>
      </c>
      <c r="H57">
        <v>19</v>
      </c>
      <c r="I57">
        <v>207.82047999999998</v>
      </c>
      <c r="J57">
        <v>50</v>
      </c>
      <c r="K57">
        <v>81.526745999999989</v>
      </c>
      <c r="L57">
        <v>89</v>
      </c>
      <c r="M57">
        <v>29.295055999999995</v>
      </c>
      <c r="N57">
        <v>101</v>
      </c>
      <c r="O57">
        <v>10.477746999999999</v>
      </c>
      <c r="P57" s="3">
        <f t="shared" si="10"/>
        <v>16296.021650999999</v>
      </c>
      <c r="Q57" s="3">
        <f t="shared" si="11"/>
        <v>59128.619066999992</v>
      </c>
      <c r="R57">
        <v>3246900</v>
      </c>
      <c r="S57">
        <f t="shared" ref="S57:S63" si="12">Q57/R57*100</f>
        <v>1.8210791544858169</v>
      </c>
    </row>
    <row r="58" spans="1:19" x14ac:dyDescent="0.2">
      <c r="A58">
        <v>25000</v>
      </c>
      <c r="B58">
        <v>0</v>
      </c>
      <c r="C58">
        <v>2136.3467999999998</v>
      </c>
      <c r="D58">
        <v>0</v>
      </c>
      <c r="E58">
        <v>1177.3722799999998</v>
      </c>
      <c r="F58">
        <v>5</v>
      </c>
      <c r="G58">
        <v>489.74435999999997</v>
      </c>
      <c r="H58">
        <v>11</v>
      </c>
      <c r="I58">
        <v>207.82047999999998</v>
      </c>
      <c r="J58">
        <v>23</v>
      </c>
      <c r="K58">
        <v>81.526745999999989</v>
      </c>
      <c r="L58">
        <v>64</v>
      </c>
      <c r="M58">
        <v>29.295055999999995</v>
      </c>
      <c r="N58">
        <v>44</v>
      </c>
      <c r="O58">
        <v>10.477746999999999</v>
      </c>
      <c r="P58" s="3">
        <f t="shared" si="10"/>
        <v>8945.7666899999986</v>
      </c>
      <c r="Q58" s="3">
        <f t="shared" si="11"/>
        <v>42832.597415999997</v>
      </c>
      <c r="R58">
        <v>3246900</v>
      </c>
      <c r="S58">
        <f t="shared" si="12"/>
        <v>1.3191843732791277</v>
      </c>
    </row>
    <row r="59" spans="1:19" x14ac:dyDescent="0.2">
      <c r="A59">
        <v>30000</v>
      </c>
      <c r="B59">
        <v>0</v>
      </c>
      <c r="C59">
        <v>2136.3467999999998</v>
      </c>
      <c r="D59">
        <v>2</v>
      </c>
      <c r="E59">
        <v>1177.3722799999998</v>
      </c>
      <c r="F59">
        <v>6</v>
      </c>
      <c r="G59">
        <v>489.74435999999997</v>
      </c>
      <c r="H59">
        <v>19</v>
      </c>
      <c r="I59">
        <v>207.82047999999998</v>
      </c>
      <c r="J59">
        <v>61</v>
      </c>
      <c r="K59">
        <v>81.526745999999989</v>
      </c>
      <c r="L59">
        <v>60</v>
      </c>
      <c r="M59">
        <v>29.295055999999995</v>
      </c>
      <c r="N59">
        <v>70</v>
      </c>
      <c r="O59">
        <v>10.477746999999999</v>
      </c>
      <c r="P59" s="3">
        <f t="shared" si="10"/>
        <v>16706.076996</v>
      </c>
      <c r="Q59" s="3">
        <f t="shared" si="11"/>
        <v>33886.830726</v>
      </c>
      <c r="R59">
        <v>3246900</v>
      </c>
      <c r="S59">
        <f t="shared" si="12"/>
        <v>1.0436672126027904</v>
      </c>
    </row>
    <row r="60" spans="1:19" x14ac:dyDescent="0.2">
      <c r="A60">
        <v>40000</v>
      </c>
      <c r="B60">
        <v>0</v>
      </c>
      <c r="C60">
        <v>2136.3467999999998</v>
      </c>
      <c r="D60">
        <v>1</v>
      </c>
      <c r="E60">
        <v>1177.3722799999998</v>
      </c>
      <c r="F60">
        <v>1</v>
      </c>
      <c r="G60">
        <v>489.74435999999997</v>
      </c>
      <c r="H60">
        <v>3</v>
      </c>
      <c r="I60">
        <v>207.82047999999998</v>
      </c>
      <c r="J60">
        <v>25</v>
      </c>
      <c r="K60">
        <v>81.526745999999989</v>
      </c>
      <c r="L60">
        <v>27</v>
      </c>
      <c r="M60">
        <v>29.295055999999995</v>
      </c>
      <c r="N60">
        <v>35</v>
      </c>
      <c r="O60">
        <v>10.477746999999999</v>
      </c>
      <c r="P60" s="3">
        <f t="shared" si="10"/>
        <v>5486.4343869999993</v>
      </c>
      <c r="Q60" s="3">
        <f t="shared" si="11"/>
        <v>17180.753729999997</v>
      </c>
      <c r="R60">
        <v>3246900</v>
      </c>
      <c r="S60">
        <f t="shared" si="12"/>
        <v>0.52914329760694812</v>
      </c>
    </row>
    <row r="61" spans="1:19" x14ac:dyDescent="0.2">
      <c r="A61">
        <v>50000</v>
      </c>
      <c r="B61">
        <v>0</v>
      </c>
      <c r="C61">
        <v>2136.3467999999998</v>
      </c>
      <c r="D61">
        <v>0</v>
      </c>
      <c r="E61">
        <v>1177.3722799999998</v>
      </c>
      <c r="F61">
        <v>3</v>
      </c>
      <c r="G61">
        <v>489.74435999999997</v>
      </c>
      <c r="H61">
        <v>7</v>
      </c>
      <c r="I61">
        <v>207.82047999999998</v>
      </c>
      <c r="J61">
        <v>6</v>
      </c>
      <c r="K61">
        <v>81.526745999999989</v>
      </c>
      <c r="L61">
        <v>23</v>
      </c>
      <c r="M61">
        <v>29.295055999999995</v>
      </c>
      <c r="N61">
        <v>24</v>
      </c>
      <c r="O61">
        <v>10.477746999999999</v>
      </c>
      <c r="P61" s="3">
        <f t="shared" si="10"/>
        <v>4338.3891319999993</v>
      </c>
      <c r="Q61" s="3">
        <f t="shared" si="11"/>
        <v>11694.319342999999</v>
      </c>
      <c r="R61">
        <v>3246900</v>
      </c>
      <c r="S61">
        <f t="shared" si="12"/>
        <v>0.36016875613662264</v>
      </c>
    </row>
    <row r="62" spans="1:19" x14ac:dyDescent="0.2">
      <c r="A62">
        <v>60000</v>
      </c>
      <c r="B62">
        <v>0</v>
      </c>
      <c r="C62">
        <v>2136.3467999999998</v>
      </c>
      <c r="D62">
        <v>0</v>
      </c>
      <c r="E62">
        <v>1177.3722799999998</v>
      </c>
      <c r="F62">
        <v>1</v>
      </c>
      <c r="G62">
        <v>489.74435999999997</v>
      </c>
      <c r="H62">
        <v>4</v>
      </c>
      <c r="I62">
        <v>207.82047999999998</v>
      </c>
      <c r="J62">
        <v>6</v>
      </c>
      <c r="K62">
        <v>81.526745999999989</v>
      </c>
      <c r="L62">
        <v>21</v>
      </c>
      <c r="M62">
        <v>29.295055999999995</v>
      </c>
      <c r="N62">
        <v>19</v>
      </c>
      <c r="O62">
        <v>10.477746999999999</v>
      </c>
      <c r="P62" s="3">
        <f t="shared" si="10"/>
        <v>2624.4601249999996</v>
      </c>
      <c r="Q62" s="3">
        <f t="shared" si="11"/>
        <v>7355.930210999999</v>
      </c>
      <c r="R62">
        <v>3246900</v>
      </c>
      <c r="S62">
        <f t="shared" si="12"/>
        <v>0.22655241032985304</v>
      </c>
    </row>
    <row r="63" spans="1:19" x14ac:dyDescent="0.2">
      <c r="A63">
        <v>70000</v>
      </c>
      <c r="B63">
        <v>0</v>
      </c>
      <c r="C63">
        <v>2136.3467999999998</v>
      </c>
      <c r="D63">
        <v>0</v>
      </c>
      <c r="E63">
        <v>1177.3722799999998</v>
      </c>
      <c r="F63">
        <v>2</v>
      </c>
      <c r="G63">
        <v>489.74435999999997</v>
      </c>
      <c r="H63">
        <v>5</v>
      </c>
      <c r="I63">
        <v>207.82047999999998</v>
      </c>
      <c r="J63">
        <v>4</v>
      </c>
      <c r="K63">
        <v>81.526745999999989</v>
      </c>
      <c r="L63">
        <v>19</v>
      </c>
      <c r="M63">
        <v>29.295055999999995</v>
      </c>
      <c r="N63">
        <v>24</v>
      </c>
      <c r="O63">
        <v>10.477746999999999</v>
      </c>
      <c r="P63" s="3">
        <f t="shared" si="10"/>
        <v>3152.7700959999997</v>
      </c>
      <c r="Q63" s="3">
        <f>P64+P63</f>
        <v>4731.4700859999994</v>
      </c>
      <c r="R63">
        <v>3246900</v>
      </c>
      <c r="S63">
        <f t="shared" si="12"/>
        <v>0.14572269198312235</v>
      </c>
    </row>
    <row r="64" spans="1:19" x14ac:dyDescent="0.2">
      <c r="A64" t="s">
        <v>4</v>
      </c>
      <c r="B64">
        <v>0</v>
      </c>
      <c r="C64">
        <v>2136.3467999999998</v>
      </c>
      <c r="D64">
        <v>0</v>
      </c>
      <c r="E64">
        <v>1177.3722799999998</v>
      </c>
      <c r="F64">
        <v>0</v>
      </c>
      <c r="G64">
        <v>489.74435999999997</v>
      </c>
      <c r="H64">
        <v>2</v>
      </c>
      <c r="I64">
        <v>207.82047999999998</v>
      </c>
      <c r="J64">
        <v>8</v>
      </c>
      <c r="K64">
        <v>81.526745999999989</v>
      </c>
      <c r="L64">
        <v>11</v>
      </c>
      <c r="M64">
        <v>29.295055999999995</v>
      </c>
      <c r="N64">
        <v>18</v>
      </c>
      <c r="O64">
        <v>10.477746999999999</v>
      </c>
      <c r="P64" s="3">
        <f t="shared" si="10"/>
        <v>1578.6999899999996</v>
      </c>
      <c r="Q64" s="3">
        <f>P64</f>
        <v>1578.6999899999996</v>
      </c>
      <c r="R64">
        <v>3246900</v>
      </c>
      <c r="S64">
        <f>Q64/R64*100</f>
        <v>4.8621761988358117E-2</v>
      </c>
    </row>
    <row r="65" spans="1:19" x14ac:dyDescent="0.2">
      <c r="A65" t="s">
        <v>3</v>
      </c>
      <c r="B65">
        <v>16</v>
      </c>
      <c r="C65">
        <v>2136.3467999999998</v>
      </c>
      <c r="D65">
        <v>36</v>
      </c>
      <c r="E65">
        <v>1177.3722799999998</v>
      </c>
      <c r="F65">
        <v>138</v>
      </c>
      <c r="G65">
        <v>489.74435999999997</v>
      </c>
      <c r="H65">
        <v>458</v>
      </c>
      <c r="I65">
        <v>207.82047999999998</v>
      </c>
      <c r="J65">
        <v>1221</v>
      </c>
      <c r="K65">
        <v>81.526745999999989</v>
      </c>
      <c r="L65">
        <v>1911</v>
      </c>
      <c r="M65">
        <v>29.295055999999995</v>
      </c>
      <c r="N65">
        <v>2007</v>
      </c>
      <c r="O65">
        <v>10.477746999999999</v>
      </c>
      <c r="P65" s="3">
        <f t="shared" si="10"/>
        <v>415889.29951099993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59</v>
      </c>
      <c r="B73" s="14">
        <v>5.0000000000000001E-4</v>
      </c>
      <c r="C73" s="5">
        <f>S64/100</f>
        <v>4.8621761988358115E-4</v>
      </c>
      <c r="D73" s="5">
        <f>S63/100</f>
        <v>1.4572269198312234E-3</v>
      </c>
      <c r="E73" s="5">
        <v>100000</v>
      </c>
      <c r="F73" s="5">
        <v>70000</v>
      </c>
      <c r="G73" s="5">
        <f t="shared" ref="G73:G78" si="13">D73/C73</f>
        <v>2.9970672806553957</v>
      </c>
      <c r="H73" s="5">
        <f t="shared" ref="H73:H78" si="14">LN(G73)</f>
        <v>1.0976342374170101</v>
      </c>
      <c r="I73" s="5">
        <f t="shared" ref="I73:I78" si="15">E73/F73</f>
        <v>1.4285714285714286</v>
      </c>
      <c r="J73" s="5">
        <f t="shared" ref="J73:J78" si="16">LN(I73)</f>
        <v>0.35667494393873239</v>
      </c>
      <c r="K73" s="4">
        <f t="shared" ref="K73:K78" si="17">H73/J73</f>
        <v>3.0774077519881953</v>
      </c>
      <c r="L73" s="4">
        <f t="shared" ref="L73:L78" si="18">F73*(D73^(1/K73))</f>
        <v>8382.8088316155918</v>
      </c>
      <c r="M73" s="7">
        <f t="shared" ref="M73:M78" si="19">POWER(B73,1/K73)</f>
        <v>8.4592959106367091E-2</v>
      </c>
      <c r="N73" s="8">
        <f t="shared" ref="N73:N78" si="20">L73/M73</f>
        <v>99095.822160270545</v>
      </c>
      <c r="O73">
        <f t="shared" ref="O73:O78" si="21">R54</f>
        <v>3246900</v>
      </c>
      <c r="P73" s="8">
        <f>O73*(K73/(1-K73))*POWER(L73,K73)*(-1)*POWER(N73,1-K73)</f>
        <v>238318391.08540475</v>
      </c>
      <c r="Q73" s="9">
        <f t="shared" ref="Q73:Q78" si="22">B73*O73</f>
        <v>1623.45</v>
      </c>
      <c r="R73" s="4">
        <f t="shared" ref="R73:R78" si="23">P73/Q73</f>
        <v>146797.4936618958</v>
      </c>
      <c r="S73" s="3">
        <f t="shared" ref="S73:S78" si="24">20.5805*P73*1.23</f>
        <v>6032795326.7118015</v>
      </c>
    </row>
    <row r="74" spans="1:19" x14ac:dyDescent="0.2">
      <c r="A74" t="s">
        <v>59</v>
      </c>
      <c r="B74" s="14">
        <v>1E-3</v>
      </c>
      <c r="C74" s="5">
        <f>S64/100</f>
        <v>4.8621761988358115E-4</v>
      </c>
      <c r="D74" s="5">
        <f>S63/100</f>
        <v>1.4572269198312234E-3</v>
      </c>
      <c r="E74" s="5">
        <v>100000</v>
      </c>
      <c r="F74" s="5">
        <v>70000</v>
      </c>
      <c r="G74" s="5">
        <f t="shared" si="13"/>
        <v>2.9970672806553957</v>
      </c>
      <c r="H74" s="5">
        <f t="shared" si="14"/>
        <v>1.0976342374170101</v>
      </c>
      <c r="I74" s="5">
        <f t="shared" si="15"/>
        <v>1.4285714285714286</v>
      </c>
      <c r="J74" s="5">
        <f t="shared" si="16"/>
        <v>0.35667494393873239</v>
      </c>
      <c r="K74" s="4">
        <f t="shared" si="17"/>
        <v>3.0774077519881953</v>
      </c>
      <c r="L74" s="4">
        <f t="shared" si="18"/>
        <v>8382.8088316155918</v>
      </c>
      <c r="M74" s="7">
        <f t="shared" si="19"/>
        <v>0.10596283208180979</v>
      </c>
      <c r="N74" s="8">
        <f t="shared" si="20"/>
        <v>79110.841668931142</v>
      </c>
      <c r="O74">
        <f t="shared" si="21"/>
        <v>3246900</v>
      </c>
      <c r="P74" s="8">
        <f>O74*(K74/(1-K74))*POWER(L74,K74)*(POWER(N73,1-K74)-POWER(N74,1-K74))+P73</f>
        <v>380511874.1223923</v>
      </c>
      <c r="Q74" s="9">
        <f t="shared" si="22"/>
        <v>3246.9</v>
      </c>
      <c r="R74" s="4">
        <f t="shared" si="23"/>
        <v>117192.36013501872</v>
      </c>
      <c r="S74" s="3">
        <f t="shared" si="24"/>
        <v>9632283289.2123508</v>
      </c>
    </row>
    <row r="75" spans="1:19" x14ac:dyDescent="0.2">
      <c r="A75" t="s">
        <v>45</v>
      </c>
      <c r="B75" s="14">
        <v>2.5000000000000001E-3</v>
      </c>
      <c r="C75" s="5">
        <f>S62/100</f>
        <v>2.2655241032985304E-3</v>
      </c>
      <c r="D75" s="5">
        <f>S61/100</f>
        <v>3.6016875613662262E-3</v>
      </c>
      <c r="E75" s="5">
        <v>60000</v>
      </c>
      <c r="F75" s="5">
        <v>50000</v>
      </c>
      <c r="G75" s="5">
        <f t="shared" si="13"/>
        <v>1.5897811707773424</v>
      </c>
      <c r="H75" s="5">
        <f t="shared" si="14"/>
        <v>0.46359637831855405</v>
      </c>
      <c r="I75" s="5">
        <f t="shared" si="15"/>
        <v>1.2</v>
      </c>
      <c r="J75" s="5">
        <f t="shared" si="16"/>
        <v>0.18232155679395459</v>
      </c>
      <c r="K75" s="4">
        <f t="shared" si="17"/>
        <v>2.5427403455230149</v>
      </c>
      <c r="L75" s="4">
        <f t="shared" si="18"/>
        <v>5470.1756628533212</v>
      </c>
      <c r="M75" s="7">
        <f t="shared" si="19"/>
        <v>9.4770021219307665E-2</v>
      </c>
      <c r="N75" s="8">
        <f t="shared" si="20"/>
        <v>57720.527994762888</v>
      </c>
      <c r="O75">
        <f t="shared" si="21"/>
        <v>3246900</v>
      </c>
      <c r="P75" s="8">
        <f>O75*(K75/(1-K75))*POWER(L75,K75)*(POWER(N74,1-K75)-POWER(N75,1-K75))+P74</f>
        <v>677914632.66439486</v>
      </c>
      <c r="Q75" s="9">
        <f t="shared" si="22"/>
        <v>8117.25</v>
      </c>
      <c r="R75" s="4">
        <f t="shared" si="23"/>
        <v>83515.307852338519</v>
      </c>
      <c r="S75" s="3">
        <f t="shared" si="24"/>
        <v>17160741179.985983</v>
      </c>
    </row>
    <row r="76" spans="1:19" x14ac:dyDescent="0.2">
      <c r="A76" t="s">
        <v>65</v>
      </c>
      <c r="B76" s="14">
        <v>5.0000000000000001E-3</v>
      </c>
      <c r="C76" s="5">
        <f>S61/100</f>
        <v>3.6016875613662262E-3</v>
      </c>
      <c r="D76" s="5">
        <f>S60/100</f>
        <v>5.2914329760694809E-3</v>
      </c>
      <c r="E76" s="5">
        <v>50000</v>
      </c>
      <c r="F76" s="5">
        <v>40000</v>
      </c>
      <c r="G76" s="5">
        <f t="shared" si="13"/>
        <v>1.4691538024642772</v>
      </c>
      <c r="H76" s="5">
        <f t="shared" si="14"/>
        <v>0.3846865904615675</v>
      </c>
      <c r="I76" s="5">
        <f t="shared" si="15"/>
        <v>1.25</v>
      </c>
      <c r="J76" s="5">
        <f t="shared" si="16"/>
        <v>0.22314355131420976</v>
      </c>
      <c r="K76" s="4">
        <f t="shared" si="17"/>
        <v>1.7239422255133334</v>
      </c>
      <c r="L76" s="4">
        <f>F76*(D76^(1/K76))</f>
        <v>1912.4171017423928</v>
      </c>
      <c r="M76" s="7">
        <f t="shared" si="19"/>
        <v>4.6264843373525537E-2</v>
      </c>
      <c r="N76" s="8">
        <f t="shared" si="20"/>
        <v>41336.292577546017</v>
      </c>
      <c r="O76">
        <f t="shared" si="21"/>
        <v>3246900</v>
      </c>
      <c r="P76" s="8">
        <f>O76*(K76/(1-K76))*POWER(L76,K76)*(POWER(N75,1-K76)-POWER(N76,1-K76))+P75</f>
        <v>1021033374.8751864</v>
      </c>
      <c r="Q76" s="9">
        <f t="shared" si="22"/>
        <v>16234.5</v>
      </c>
      <c r="R76" s="4">
        <f t="shared" si="23"/>
        <v>62892.813137157682</v>
      </c>
      <c r="S76" s="3">
        <f t="shared" si="24"/>
        <v>25846454167.091091</v>
      </c>
    </row>
    <row r="77" spans="1:19" x14ac:dyDescent="0.2">
      <c r="A77" t="s">
        <v>46</v>
      </c>
      <c r="B77" s="14">
        <v>0.01</v>
      </c>
      <c r="C77" s="5">
        <f>S60/100</f>
        <v>5.2914329760694809E-3</v>
      </c>
      <c r="D77" s="5">
        <f>S59/100</f>
        <v>1.0436672126027904E-2</v>
      </c>
      <c r="E77" s="5">
        <v>40000</v>
      </c>
      <c r="F77" s="5">
        <v>30000</v>
      </c>
      <c r="G77" s="5">
        <f t="shared" si="13"/>
        <v>1.9723716001370102</v>
      </c>
      <c r="H77" s="5">
        <f t="shared" si="14"/>
        <v>0.67923667663154752</v>
      </c>
      <c r="I77" s="5">
        <f t="shared" si="15"/>
        <v>1.3333333333333333</v>
      </c>
      <c r="J77" s="5">
        <f t="shared" si="16"/>
        <v>0.28768207245178085</v>
      </c>
      <c r="K77" s="4">
        <f t="shared" si="17"/>
        <v>2.3610671003678765</v>
      </c>
      <c r="L77" s="4">
        <f t="shared" si="18"/>
        <v>4344.1854662648557</v>
      </c>
      <c r="M77" s="7">
        <f t="shared" si="19"/>
        <v>0.14220844485021114</v>
      </c>
      <c r="N77" s="8">
        <f t="shared" si="20"/>
        <v>30548.01331130938</v>
      </c>
      <c r="O77">
        <f t="shared" si="21"/>
        <v>3246900</v>
      </c>
      <c r="P77" s="8">
        <f>O77*(K77/(1-K77))*POWER(L77,K77)*(POWER(N76,1-K77)-POWER(N77,1-K77))+P76</f>
        <v>1601632091.8898845</v>
      </c>
      <c r="Q77" s="9">
        <f t="shared" si="22"/>
        <v>32469</v>
      </c>
      <c r="R77" s="4">
        <f t="shared" si="23"/>
        <v>49328.038802854549</v>
      </c>
      <c r="S77" s="3">
        <f t="shared" si="24"/>
        <v>40543738798.581909</v>
      </c>
    </row>
    <row r="78" spans="1:19" x14ac:dyDescent="0.2">
      <c r="A78" t="s">
        <v>48</v>
      </c>
      <c r="B78" s="14">
        <v>0.02</v>
      </c>
      <c r="C78" s="5">
        <f>S57/100</f>
        <v>1.8210791544858169E-2</v>
      </c>
      <c r="D78" s="5">
        <f>S56/100</f>
        <v>2.841915174504912E-2</v>
      </c>
      <c r="E78" s="5">
        <v>20000</v>
      </c>
      <c r="F78" s="5">
        <v>15000</v>
      </c>
      <c r="G78" s="5">
        <f t="shared" si="13"/>
        <v>1.5605665286456638</v>
      </c>
      <c r="H78" s="5">
        <f t="shared" si="14"/>
        <v>0.44504891472328179</v>
      </c>
      <c r="I78" s="5">
        <f t="shared" si="15"/>
        <v>1.3333333333333333</v>
      </c>
      <c r="J78" s="5">
        <f t="shared" si="16"/>
        <v>0.28768207245178085</v>
      </c>
      <c r="K78" s="4">
        <f t="shared" si="17"/>
        <v>1.5470165065564787</v>
      </c>
      <c r="L78" s="4">
        <f t="shared" si="18"/>
        <v>1501.4018770329371</v>
      </c>
      <c r="M78" s="7">
        <f t="shared" si="19"/>
        <v>7.9758397792847088E-2</v>
      </c>
      <c r="N78" s="8">
        <f t="shared" si="20"/>
        <v>18824.373590508436</v>
      </c>
      <c r="O78">
        <f t="shared" si="21"/>
        <v>3246900</v>
      </c>
      <c r="P78" s="8">
        <f>O78*(K78/(1-K78))*POWER(L78,K78)*(POWER(N77,1-K78)-POWER(N78,1-K78))+P77</f>
        <v>2405994409.6350183</v>
      </c>
      <c r="Q78" s="9">
        <f t="shared" si="22"/>
        <v>64938</v>
      </c>
      <c r="R78" s="4">
        <f t="shared" si="23"/>
        <v>37050.639219486562</v>
      </c>
      <c r="S78" s="3">
        <f t="shared" si="24"/>
        <v>60905378575.417007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25">S32+S73</f>
        <v>21868475688.432735</v>
      </c>
      <c r="C85">
        <f t="shared" ref="C85:C90" si="26">776800000000*1.23</f>
        <v>955464000000</v>
      </c>
      <c r="F85" s="10">
        <f t="shared" ref="F85:F90" si="27">B85/C85*100</f>
        <v>2.288780706382735</v>
      </c>
    </row>
    <row r="86" spans="1:7" ht="15" x14ac:dyDescent="0.25">
      <c r="A86" s="18">
        <v>1E-3</v>
      </c>
      <c r="B86" s="3">
        <f t="shared" si="25"/>
        <v>31967238358.041077</v>
      </c>
      <c r="C86">
        <f t="shared" si="26"/>
        <v>955464000000</v>
      </c>
      <c r="F86" s="10">
        <f t="shared" si="27"/>
        <v>3.3457292329214994</v>
      </c>
    </row>
    <row r="87" spans="1:7" ht="15" x14ac:dyDescent="0.25">
      <c r="A87" s="18">
        <v>2.5000000000000001E-3</v>
      </c>
      <c r="B87" s="3">
        <f t="shared" si="25"/>
        <v>52350222938.517281</v>
      </c>
      <c r="C87">
        <f t="shared" si="26"/>
        <v>955464000000</v>
      </c>
      <c r="F87" s="10">
        <f t="shared" si="27"/>
        <v>5.4790366710328469</v>
      </c>
    </row>
    <row r="88" spans="1:7" ht="15" x14ac:dyDescent="0.25">
      <c r="A88" s="18">
        <v>5.0000000000000001E-3</v>
      </c>
      <c r="B88" s="3">
        <f t="shared" si="25"/>
        <v>80100195689.445053</v>
      </c>
      <c r="C88">
        <f t="shared" si="26"/>
        <v>955464000000</v>
      </c>
      <c r="F88" s="10">
        <f t="shared" si="27"/>
        <v>8.3833818636228106</v>
      </c>
    </row>
    <row r="89" spans="1:7" ht="15" x14ac:dyDescent="0.25">
      <c r="A89" s="19">
        <v>0.01</v>
      </c>
      <c r="B89" s="3">
        <f t="shared" si="25"/>
        <v>112156832419.28256</v>
      </c>
      <c r="C89">
        <f t="shared" si="26"/>
        <v>955464000000</v>
      </c>
      <c r="F89" s="10">
        <f t="shared" si="27"/>
        <v>11.738467636591494</v>
      </c>
    </row>
    <row r="90" spans="1:7" ht="15" x14ac:dyDescent="0.25">
      <c r="A90" s="19">
        <v>0.02</v>
      </c>
      <c r="B90" s="3">
        <f t="shared" si="25"/>
        <v>163722712896.75427</v>
      </c>
      <c r="C90">
        <f t="shared" si="26"/>
        <v>955464000000</v>
      </c>
      <c r="F90" s="10">
        <f t="shared" si="27"/>
        <v>17.135414091661673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D59" zoomScale="80" zoomScaleNormal="80" workbookViewId="0">
      <selection activeCell="P74" sqref="P74"/>
    </sheetView>
  </sheetViews>
  <sheetFormatPr defaultRowHeight="12.75" x14ac:dyDescent="0.2"/>
  <cols>
    <col min="1" max="1" width="14.5703125" customWidth="1"/>
    <col min="2" max="2" width="27" customWidth="1"/>
    <col min="3" max="3" width="15.85546875" customWidth="1"/>
    <col min="5" max="5" width="17.7109375" customWidth="1"/>
    <col min="7" max="7" width="15.140625" customWidth="1"/>
    <col min="9" max="9" width="13.5703125" customWidth="1"/>
    <col min="11" max="11" width="13.28515625" customWidth="1"/>
    <col min="13" max="15" width="14.28515625" customWidth="1"/>
    <col min="16" max="16" width="14.85546875" customWidth="1"/>
    <col min="17" max="17" width="23" customWidth="1"/>
    <col min="18" max="18" width="13.7109375" customWidth="1"/>
    <col min="19" max="19" width="14" customWidth="1"/>
    <col min="257" max="257" width="14.5703125" customWidth="1"/>
    <col min="258" max="258" width="27" customWidth="1"/>
    <col min="259" max="259" width="15.85546875" customWidth="1"/>
    <col min="261" max="261" width="17.7109375" customWidth="1"/>
    <col min="263" max="263" width="15.140625" customWidth="1"/>
    <col min="265" max="265" width="13.5703125" customWidth="1"/>
    <col min="267" max="267" width="13.28515625" customWidth="1"/>
    <col min="269" max="271" width="14.28515625" customWidth="1"/>
    <col min="272" max="272" width="14.85546875" customWidth="1"/>
    <col min="273" max="273" width="23" customWidth="1"/>
    <col min="274" max="274" width="13.7109375" customWidth="1"/>
    <col min="275" max="275" width="14" customWidth="1"/>
    <col min="513" max="513" width="14.5703125" customWidth="1"/>
    <col min="514" max="514" width="27" customWidth="1"/>
    <col min="515" max="515" width="15.85546875" customWidth="1"/>
    <col min="517" max="517" width="17.7109375" customWidth="1"/>
    <col min="519" max="519" width="15.140625" customWidth="1"/>
    <col min="521" max="521" width="13.5703125" customWidth="1"/>
    <col min="523" max="523" width="13.28515625" customWidth="1"/>
    <col min="525" max="527" width="14.28515625" customWidth="1"/>
    <col min="528" max="528" width="14.85546875" customWidth="1"/>
    <col min="529" max="529" width="23" customWidth="1"/>
    <col min="530" max="530" width="13.7109375" customWidth="1"/>
    <col min="531" max="531" width="14" customWidth="1"/>
    <col min="769" max="769" width="14.5703125" customWidth="1"/>
    <col min="770" max="770" width="27" customWidth="1"/>
    <col min="771" max="771" width="15.85546875" customWidth="1"/>
    <col min="773" max="773" width="17.7109375" customWidth="1"/>
    <col min="775" max="775" width="15.140625" customWidth="1"/>
    <col min="777" max="777" width="13.5703125" customWidth="1"/>
    <col min="779" max="779" width="13.28515625" customWidth="1"/>
    <col min="781" max="783" width="14.28515625" customWidth="1"/>
    <col min="784" max="784" width="14.85546875" customWidth="1"/>
    <col min="785" max="785" width="23" customWidth="1"/>
    <col min="786" max="786" width="13.7109375" customWidth="1"/>
    <col min="787" max="787" width="14" customWidth="1"/>
    <col min="1025" max="1025" width="14.5703125" customWidth="1"/>
    <col min="1026" max="1026" width="27" customWidth="1"/>
    <col min="1027" max="1027" width="15.85546875" customWidth="1"/>
    <col min="1029" max="1029" width="17.7109375" customWidth="1"/>
    <col min="1031" max="1031" width="15.140625" customWidth="1"/>
    <col min="1033" max="1033" width="13.5703125" customWidth="1"/>
    <col min="1035" max="1035" width="13.28515625" customWidth="1"/>
    <col min="1037" max="1039" width="14.28515625" customWidth="1"/>
    <col min="1040" max="1040" width="14.85546875" customWidth="1"/>
    <col min="1041" max="1041" width="23" customWidth="1"/>
    <col min="1042" max="1042" width="13.7109375" customWidth="1"/>
    <col min="1043" max="1043" width="14" customWidth="1"/>
    <col min="1281" max="1281" width="14.5703125" customWidth="1"/>
    <col min="1282" max="1282" width="27" customWidth="1"/>
    <col min="1283" max="1283" width="15.85546875" customWidth="1"/>
    <col min="1285" max="1285" width="17.7109375" customWidth="1"/>
    <col min="1287" max="1287" width="15.140625" customWidth="1"/>
    <col min="1289" max="1289" width="13.5703125" customWidth="1"/>
    <col min="1291" max="1291" width="13.28515625" customWidth="1"/>
    <col min="1293" max="1295" width="14.28515625" customWidth="1"/>
    <col min="1296" max="1296" width="14.85546875" customWidth="1"/>
    <col min="1297" max="1297" width="23" customWidth="1"/>
    <col min="1298" max="1298" width="13.7109375" customWidth="1"/>
    <col min="1299" max="1299" width="14" customWidth="1"/>
    <col min="1537" max="1537" width="14.5703125" customWidth="1"/>
    <col min="1538" max="1538" width="27" customWidth="1"/>
    <col min="1539" max="1539" width="15.85546875" customWidth="1"/>
    <col min="1541" max="1541" width="17.7109375" customWidth="1"/>
    <col min="1543" max="1543" width="15.140625" customWidth="1"/>
    <col min="1545" max="1545" width="13.5703125" customWidth="1"/>
    <col min="1547" max="1547" width="13.28515625" customWidth="1"/>
    <col min="1549" max="1551" width="14.28515625" customWidth="1"/>
    <col min="1552" max="1552" width="14.85546875" customWidth="1"/>
    <col min="1553" max="1553" width="23" customWidth="1"/>
    <col min="1554" max="1554" width="13.7109375" customWidth="1"/>
    <col min="1555" max="1555" width="14" customWidth="1"/>
    <col min="1793" max="1793" width="14.5703125" customWidth="1"/>
    <col min="1794" max="1794" width="27" customWidth="1"/>
    <col min="1795" max="1795" width="15.85546875" customWidth="1"/>
    <col min="1797" max="1797" width="17.7109375" customWidth="1"/>
    <col min="1799" max="1799" width="15.140625" customWidth="1"/>
    <col min="1801" max="1801" width="13.5703125" customWidth="1"/>
    <col min="1803" max="1803" width="13.28515625" customWidth="1"/>
    <col min="1805" max="1807" width="14.28515625" customWidth="1"/>
    <col min="1808" max="1808" width="14.85546875" customWidth="1"/>
    <col min="1809" max="1809" width="23" customWidth="1"/>
    <col min="1810" max="1810" width="13.7109375" customWidth="1"/>
    <col min="1811" max="1811" width="14" customWidth="1"/>
    <col min="2049" max="2049" width="14.5703125" customWidth="1"/>
    <col min="2050" max="2050" width="27" customWidth="1"/>
    <col min="2051" max="2051" width="15.85546875" customWidth="1"/>
    <col min="2053" max="2053" width="17.7109375" customWidth="1"/>
    <col min="2055" max="2055" width="15.140625" customWidth="1"/>
    <col min="2057" max="2057" width="13.5703125" customWidth="1"/>
    <col min="2059" max="2059" width="13.28515625" customWidth="1"/>
    <col min="2061" max="2063" width="14.28515625" customWidth="1"/>
    <col min="2064" max="2064" width="14.85546875" customWidth="1"/>
    <col min="2065" max="2065" width="23" customWidth="1"/>
    <col min="2066" max="2066" width="13.7109375" customWidth="1"/>
    <col min="2067" max="2067" width="14" customWidth="1"/>
    <col min="2305" max="2305" width="14.5703125" customWidth="1"/>
    <col min="2306" max="2306" width="27" customWidth="1"/>
    <col min="2307" max="2307" width="15.85546875" customWidth="1"/>
    <col min="2309" max="2309" width="17.7109375" customWidth="1"/>
    <col min="2311" max="2311" width="15.140625" customWidth="1"/>
    <col min="2313" max="2313" width="13.5703125" customWidth="1"/>
    <col min="2315" max="2315" width="13.28515625" customWidth="1"/>
    <col min="2317" max="2319" width="14.28515625" customWidth="1"/>
    <col min="2320" max="2320" width="14.85546875" customWidth="1"/>
    <col min="2321" max="2321" width="23" customWidth="1"/>
    <col min="2322" max="2322" width="13.7109375" customWidth="1"/>
    <col min="2323" max="2323" width="14" customWidth="1"/>
    <col min="2561" max="2561" width="14.5703125" customWidth="1"/>
    <col min="2562" max="2562" width="27" customWidth="1"/>
    <col min="2563" max="2563" width="15.85546875" customWidth="1"/>
    <col min="2565" max="2565" width="17.7109375" customWidth="1"/>
    <col min="2567" max="2567" width="15.140625" customWidth="1"/>
    <col min="2569" max="2569" width="13.5703125" customWidth="1"/>
    <col min="2571" max="2571" width="13.28515625" customWidth="1"/>
    <col min="2573" max="2575" width="14.28515625" customWidth="1"/>
    <col min="2576" max="2576" width="14.85546875" customWidth="1"/>
    <col min="2577" max="2577" width="23" customWidth="1"/>
    <col min="2578" max="2578" width="13.7109375" customWidth="1"/>
    <col min="2579" max="2579" width="14" customWidth="1"/>
    <col min="2817" max="2817" width="14.5703125" customWidth="1"/>
    <col min="2818" max="2818" width="27" customWidth="1"/>
    <col min="2819" max="2819" width="15.85546875" customWidth="1"/>
    <col min="2821" max="2821" width="17.7109375" customWidth="1"/>
    <col min="2823" max="2823" width="15.140625" customWidth="1"/>
    <col min="2825" max="2825" width="13.5703125" customWidth="1"/>
    <col min="2827" max="2827" width="13.28515625" customWidth="1"/>
    <col min="2829" max="2831" width="14.28515625" customWidth="1"/>
    <col min="2832" max="2832" width="14.85546875" customWidth="1"/>
    <col min="2833" max="2833" width="23" customWidth="1"/>
    <col min="2834" max="2834" width="13.7109375" customWidth="1"/>
    <col min="2835" max="2835" width="14" customWidth="1"/>
    <col min="3073" max="3073" width="14.5703125" customWidth="1"/>
    <col min="3074" max="3074" width="27" customWidth="1"/>
    <col min="3075" max="3075" width="15.85546875" customWidth="1"/>
    <col min="3077" max="3077" width="17.7109375" customWidth="1"/>
    <col min="3079" max="3079" width="15.140625" customWidth="1"/>
    <col min="3081" max="3081" width="13.5703125" customWidth="1"/>
    <col min="3083" max="3083" width="13.28515625" customWidth="1"/>
    <col min="3085" max="3087" width="14.28515625" customWidth="1"/>
    <col min="3088" max="3088" width="14.85546875" customWidth="1"/>
    <col min="3089" max="3089" width="23" customWidth="1"/>
    <col min="3090" max="3090" width="13.7109375" customWidth="1"/>
    <col min="3091" max="3091" width="14" customWidth="1"/>
    <col min="3329" max="3329" width="14.5703125" customWidth="1"/>
    <col min="3330" max="3330" width="27" customWidth="1"/>
    <col min="3331" max="3331" width="15.85546875" customWidth="1"/>
    <col min="3333" max="3333" width="17.7109375" customWidth="1"/>
    <col min="3335" max="3335" width="15.140625" customWidth="1"/>
    <col min="3337" max="3337" width="13.5703125" customWidth="1"/>
    <col min="3339" max="3339" width="13.28515625" customWidth="1"/>
    <col min="3341" max="3343" width="14.28515625" customWidth="1"/>
    <col min="3344" max="3344" width="14.85546875" customWidth="1"/>
    <col min="3345" max="3345" width="23" customWidth="1"/>
    <col min="3346" max="3346" width="13.7109375" customWidth="1"/>
    <col min="3347" max="3347" width="14" customWidth="1"/>
    <col min="3585" max="3585" width="14.5703125" customWidth="1"/>
    <col min="3586" max="3586" width="27" customWidth="1"/>
    <col min="3587" max="3587" width="15.85546875" customWidth="1"/>
    <col min="3589" max="3589" width="17.7109375" customWidth="1"/>
    <col min="3591" max="3591" width="15.140625" customWidth="1"/>
    <col min="3593" max="3593" width="13.5703125" customWidth="1"/>
    <col min="3595" max="3595" width="13.28515625" customWidth="1"/>
    <col min="3597" max="3599" width="14.28515625" customWidth="1"/>
    <col min="3600" max="3600" width="14.85546875" customWidth="1"/>
    <col min="3601" max="3601" width="23" customWidth="1"/>
    <col min="3602" max="3602" width="13.7109375" customWidth="1"/>
    <col min="3603" max="3603" width="14" customWidth="1"/>
    <col min="3841" max="3841" width="14.5703125" customWidth="1"/>
    <col min="3842" max="3842" width="27" customWidth="1"/>
    <col min="3843" max="3843" width="15.85546875" customWidth="1"/>
    <col min="3845" max="3845" width="17.7109375" customWidth="1"/>
    <col min="3847" max="3847" width="15.140625" customWidth="1"/>
    <col min="3849" max="3849" width="13.5703125" customWidth="1"/>
    <col min="3851" max="3851" width="13.28515625" customWidth="1"/>
    <col min="3853" max="3855" width="14.28515625" customWidth="1"/>
    <col min="3856" max="3856" width="14.85546875" customWidth="1"/>
    <col min="3857" max="3857" width="23" customWidth="1"/>
    <col min="3858" max="3858" width="13.7109375" customWidth="1"/>
    <col min="3859" max="3859" width="14" customWidth="1"/>
    <col min="4097" max="4097" width="14.5703125" customWidth="1"/>
    <col min="4098" max="4098" width="27" customWidth="1"/>
    <col min="4099" max="4099" width="15.85546875" customWidth="1"/>
    <col min="4101" max="4101" width="17.7109375" customWidth="1"/>
    <col min="4103" max="4103" width="15.140625" customWidth="1"/>
    <col min="4105" max="4105" width="13.5703125" customWidth="1"/>
    <col min="4107" max="4107" width="13.28515625" customWidth="1"/>
    <col min="4109" max="4111" width="14.28515625" customWidth="1"/>
    <col min="4112" max="4112" width="14.85546875" customWidth="1"/>
    <col min="4113" max="4113" width="23" customWidth="1"/>
    <col min="4114" max="4114" width="13.7109375" customWidth="1"/>
    <col min="4115" max="4115" width="14" customWidth="1"/>
    <col min="4353" max="4353" width="14.5703125" customWidth="1"/>
    <col min="4354" max="4354" width="27" customWidth="1"/>
    <col min="4355" max="4355" width="15.85546875" customWidth="1"/>
    <col min="4357" max="4357" width="17.7109375" customWidth="1"/>
    <col min="4359" max="4359" width="15.140625" customWidth="1"/>
    <col min="4361" max="4361" width="13.5703125" customWidth="1"/>
    <col min="4363" max="4363" width="13.28515625" customWidth="1"/>
    <col min="4365" max="4367" width="14.28515625" customWidth="1"/>
    <col min="4368" max="4368" width="14.85546875" customWidth="1"/>
    <col min="4369" max="4369" width="23" customWidth="1"/>
    <col min="4370" max="4370" width="13.7109375" customWidth="1"/>
    <col min="4371" max="4371" width="14" customWidth="1"/>
    <col min="4609" max="4609" width="14.5703125" customWidth="1"/>
    <col min="4610" max="4610" width="27" customWidth="1"/>
    <col min="4611" max="4611" width="15.85546875" customWidth="1"/>
    <col min="4613" max="4613" width="17.7109375" customWidth="1"/>
    <col min="4615" max="4615" width="15.140625" customWidth="1"/>
    <col min="4617" max="4617" width="13.5703125" customWidth="1"/>
    <col min="4619" max="4619" width="13.28515625" customWidth="1"/>
    <col min="4621" max="4623" width="14.28515625" customWidth="1"/>
    <col min="4624" max="4624" width="14.85546875" customWidth="1"/>
    <col min="4625" max="4625" width="23" customWidth="1"/>
    <col min="4626" max="4626" width="13.7109375" customWidth="1"/>
    <col min="4627" max="4627" width="14" customWidth="1"/>
    <col min="4865" max="4865" width="14.5703125" customWidth="1"/>
    <col min="4866" max="4866" width="27" customWidth="1"/>
    <col min="4867" max="4867" width="15.85546875" customWidth="1"/>
    <col min="4869" max="4869" width="17.7109375" customWidth="1"/>
    <col min="4871" max="4871" width="15.140625" customWidth="1"/>
    <col min="4873" max="4873" width="13.5703125" customWidth="1"/>
    <col min="4875" max="4875" width="13.28515625" customWidth="1"/>
    <col min="4877" max="4879" width="14.28515625" customWidth="1"/>
    <col min="4880" max="4880" width="14.85546875" customWidth="1"/>
    <col min="4881" max="4881" width="23" customWidth="1"/>
    <col min="4882" max="4882" width="13.7109375" customWidth="1"/>
    <col min="4883" max="4883" width="14" customWidth="1"/>
    <col min="5121" max="5121" width="14.5703125" customWidth="1"/>
    <col min="5122" max="5122" width="27" customWidth="1"/>
    <col min="5123" max="5123" width="15.85546875" customWidth="1"/>
    <col min="5125" max="5125" width="17.7109375" customWidth="1"/>
    <col min="5127" max="5127" width="15.140625" customWidth="1"/>
    <col min="5129" max="5129" width="13.5703125" customWidth="1"/>
    <col min="5131" max="5131" width="13.28515625" customWidth="1"/>
    <col min="5133" max="5135" width="14.28515625" customWidth="1"/>
    <col min="5136" max="5136" width="14.85546875" customWidth="1"/>
    <col min="5137" max="5137" width="23" customWidth="1"/>
    <col min="5138" max="5138" width="13.7109375" customWidth="1"/>
    <col min="5139" max="5139" width="14" customWidth="1"/>
    <col min="5377" max="5377" width="14.5703125" customWidth="1"/>
    <col min="5378" max="5378" width="27" customWidth="1"/>
    <col min="5379" max="5379" width="15.85546875" customWidth="1"/>
    <col min="5381" max="5381" width="17.7109375" customWidth="1"/>
    <col min="5383" max="5383" width="15.140625" customWidth="1"/>
    <col min="5385" max="5385" width="13.5703125" customWidth="1"/>
    <col min="5387" max="5387" width="13.28515625" customWidth="1"/>
    <col min="5389" max="5391" width="14.28515625" customWidth="1"/>
    <col min="5392" max="5392" width="14.85546875" customWidth="1"/>
    <col min="5393" max="5393" width="23" customWidth="1"/>
    <col min="5394" max="5394" width="13.7109375" customWidth="1"/>
    <col min="5395" max="5395" width="14" customWidth="1"/>
    <col min="5633" max="5633" width="14.5703125" customWidth="1"/>
    <col min="5634" max="5634" width="27" customWidth="1"/>
    <col min="5635" max="5635" width="15.85546875" customWidth="1"/>
    <col min="5637" max="5637" width="17.7109375" customWidth="1"/>
    <col min="5639" max="5639" width="15.140625" customWidth="1"/>
    <col min="5641" max="5641" width="13.5703125" customWidth="1"/>
    <col min="5643" max="5643" width="13.28515625" customWidth="1"/>
    <col min="5645" max="5647" width="14.28515625" customWidth="1"/>
    <col min="5648" max="5648" width="14.85546875" customWidth="1"/>
    <col min="5649" max="5649" width="23" customWidth="1"/>
    <col min="5650" max="5650" width="13.7109375" customWidth="1"/>
    <col min="5651" max="5651" width="14" customWidth="1"/>
    <col min="5889" max="5889" width="14.5703125" customWidth="1"/>
    <col min="5890" max="5890" width="27" customWidth="1"/>
    <col min="5891" max="5891" width="15.85546875" customWidth="1"/>
    <col min="5893" max="5893" width="17.7109375" customWidth="1"/>
    <col min="5895" max="5895" width="15.140625" customWidth="1"/>
    <col min="5897" max="5897" width="13.5703125" customWidth="1"/>
    <col min="5899" max="5899" width="13.28515625" customWidth="1"/>
    <col min="5901" max="5903" width="14.28515625" customWidth="1"/>
    <col min="5904" max="5904" width="14.85546875" customWidth="1"/>
    <col min="5905" max="5905" width="23" customWidth="1"/>
    <col min="5906" max="5906" width="13.7109375" customWidth="1"/>
    <col min="5907" max="5907" width="14" customWidth="1"/>
    <col min="6145" max="6145" width="14.5703125" customWidth="1"/>
    <col min="6146" max="6146" width="27" customWidth="1"/>
    <col min="6147" max="6147" width="15.85546875" customWidth="1"/>
    <col min="6149" max="6149" width="17.7109375" customWidth="1"/>
    <col min="6151" max="6151" width="15.140625" customWidth="1"/>
    <col min="6153" max="6153" width="13.5703125" customWidth="1"/>
    <col min="6155" max="6155" width="13.28515625" customWidth="1"/>
    <col min="6157" max="6159" width="14.28515625" customWidth="1"/>
    <col min="6160" max="6160" width="14.85546875" customWidth="1"/>
    <col min="6161" max="6161" width="23" customWidth="1"/>
    <col min="6162" max="6162" width="13.7109375" customWidth="1"/>
    <col min="6163" max="6163" width="14" customWidth="1"/>
    <col min="6401" max="6401" width="14.5703125" customWidth="1"/>
    <col min="6402" max="6402" width="27" customWidth="1"/>
    <col min="6403" max="6403" width="15.85546875" customWidth="1"/>
    <col min="6405" max="6405" width="17.7109375" customWidth="1"/>
    <col min="6407" max="6407" width="15.140625" customWidth="1"/>
    <col min="6409" max="6409" width="13.5703125" customWidth="1"/>
    <col min="6411" max="6411" width="13.28515625" customWidth="1"/>
    <col min="6413" max="6415" width="14.28515625" customWidth="1"/>
    <col min="6416" max="6416" width="14.85546875" customWidth="1"/>
    <col min="6417" max="6417" width="23" customWidth="1"/>
    <col min="6418" max="6418" width="13.7109375" customWidth="1"/>
    <col min="6419" max="6419" width="14" customWidth="1"/>
    <col min="6657" max="6657" width="14.5703125" customWidth="1"/>
    <col min="6658" max="6658" width="27" customWidth="1"/>
    <col min="6659" max="6659" width="15.85546875" customWidth="1"/>
    <col min="6661" max="6661" width="17.7109375" customWidth="1"/>
    <col min="6663" max="6663" width="15.140625" customWidth="1"/>
    <col min="6665" max="6665" width="13.5703125" customWidth="1"/>
    <col min="6667" max="6667" width="13.28515625" customWidth="1"/>
    <col min="6669" max="6671" width="14.28515625" customWidth="1"/>
    <col min="6672" max="6672" width="14.85546875" customWidth="1"/>
    <col min="6673" max="6673" width="23" customWidth="1"/>
    <col min="6674" max="6674" width="13.7109375" customWidth="1"/>
    <col min="6675" max="6675" width="14" customWidth="1"/>
    <col min="6913" max="6913" width="14.5703125" customWidth="1"/>
    <col min="6914" max="6914" width="27" customWidth="1"/>
    <col min="6915" max="6915" width="15.85546875" customWidth="1"/>
    <col min="6917" max="6917" width="17.7109375" customWidth="1"/>
    <col min="6919" max="6919" width="15.140625" customWidth="1"/>
    <col min="6921" max="6921" width="13.5703125" customWidth="1"/>
    <col min="6923" max="6923" width="13.28515625" customWidth="1"/>
    <col min="6925" max="6927" width="14.28515625" customWidth="1"/>
    <col min="6928" max="6928" width="14.85546875" customWidth="1"/>
    <col min="6929" max="6929" width="23" customWidth="1"/>
    <col min="6930" max="6930" width="13.7109375" customWidth="1"/>
    <col min="6931" max="6931" width="14" customWidth="1"/>
    <col min="7169" max="7169" width="14.5703125" customWidth="1"/>
    <col min="7170" max="7170" width="27" customWidth="1"/>
    <col min="7171" max="7171" width="15.85546875" customWidth="1"/>
    <col min="7173" max="7173" width="17.7109375" customWidth="1"/>
    <col min="7175" max="7175" width="15.140625" customWidth="1"/>
    <col min="7177" max="7177" width="13.5703125" customWidth="1"/>
    <col min="7179" max="7179" width="13.28515625" customWidth="1"/>
    <col min="7181" max="7183" width="14.28515625" customWidth="1"/>
    <col min="7184" max="7184" width="14.85546875" customWidth="1"/>
    <col min="7185" max="7185" width="23" customWidth="1"/>
    <col min="7186" max="7186" width="13.7109375" customWidth="1"/>
    <col min="7187" max="7187" width="14" customWidth="1"/>
    <col min="7425" max="7425" width="14.5703125" customWidth="1"/>
    <col min="7426" max="7426" width="27" customWidth="1"/>
    <col min="7427" max="7427" width="15.85546875" customWidth="1"/>
    <col min="7429" max="7429" width="17.7109375" customWidth="1"/>
    <col min="7431" max="7431" width="15.140625" customWidth="1"/>
    <col min="7433" max="7433" width="13.5703125" customWidth="1"/>
    <col min="7435" max="7435" width="13.28515625" customWidth="1"/>
    <col min="7437" max="7439" width="14.28515625" customWidth="1"/>
    <col min="7440" max="7440" width="14.85546875" customWidth="1"/>
    <col min="7441" max="7441" width="23" customWidth="1"/>
    <col min="7442" max="7442" width="13.7109375" customWidth="1"/>
    <col min="7443" max="7443" width="14" customWidth="1"/>
    <col min="7681" max="7681" width="14.5703125" customWidth="1"/>
    <col min="7682" max="7682" width="27" customWidth="1"/>
    <col min="7683" max="7683" width="15.85546875" customWidth="1"/>
    <col min="7685" max="7685" width="17.7109375" customWidth="1"/>
    <col min="7687" max="7687" width="15.140625" customWidth="1"/>
    <col min="7689" max="7689" width="13.5703125" customWidth="1"/>
    <col min="7691" max="7691" width="13.28515625" customWidth="1"/>
    <col min="7693" max="7695" width="14.28515625" customWidth="1"/>
    <col min="7696" max="7696" width="14.85546875" customWidth="1"/>
    <col min="7697" max="7697" width="23" customWidth="1"/>
    <col min="7698" max="7698" width="13.7109375" customWidth="1"/>
    <col min="7699" max="7699" width="14" customWidth="1"/>
    <col min="7937" max="7937" width="14.5703125" customWidth="1"/>
    <col min="7938" max="7938" width="27" customWidth="1"/>
    <col min="7939" max="7939" width="15.85546875" customWidth="1"/>
    <col min="7941" max="7941" width="17.7109375" customWidth="1"/>
    <col min="7943" max="7943" width="15.140625" customWidth="1"/>
    <col min="7945" max="7945" width="13.5703125" customWidth="1"/>
    <col min="7947" max="7947" width="13.28515625" customWidth="1"/>
    <col min="7949" max="7951" width="14.28515625" customWidth="1"/>
    <col min="7952" max="7952" width="14.85546875" customWidth="1"/>
    <col min="7953" max="7953" width="23" customWidth="1"/>
    <col min="7954" max="7954" width="13.7109375" customWidth="1"/>
    <col min="7955" max="7955" width="14" customWidth="1"/>
    <col min="8193" max="8193" width="14.5703125" customWidth="1"/>
    <col min="8194" max="8194" width="27" customWidth="1"/>
    <col min="8195" max="8195" width="15.85546875" customWidth="1"/>
    <col min="8197" max="8197" width="17.7109375" customWidth="1"/>
    <col min="8199" max="8199" width="15.140625" customWidth="1"/>
    <col min="8201" max="8201" width="13.5703125" customWidth="1"/>
    <col min="8203" max="8203" width="13.28515625" customWidth="1"/>
    <col min="8205" max="8207" width="14.28515625" customWidth="1"/>
    <col min="8208" max="8208" width="14.85546875" customWidth="1"/>
    <col min="8209" max="8209" width="23" customWidth="1"/>
    <col min="8210" max="8210" width="13.7109375" customWidth="1"/>
    <col min="8211" max="8211" width="14" customWidth="1"/>
    <col min="8449" max="8449" width="14.5703125" customWidth="1"/>
    <col min="8450" max="8450" width="27" customWidth="1"/>
    <col min="8451" max="8451" width="15.85546875" customWidth="1"/>
    <col min="8453" max="8453" width="17.7109375" customWidth="1"/>
    <col min="8455" max="8455" width="15.140625" customWidth="1"/>
    <col min="8457" max="8457" width="13.5703125" customWidth="1"/>
    <col min="8459" max="8459" width="13.28515625" customWidth="1"/>
    <col min="8461" max="8463" width="14.28515625" customWidth="1"/>
    <col min="8464" max="8464" width="14.85546875" customWidth="1"/>
    <col min="8465" max="8465" width="23" customWidth="1"/>
    <col min="8466" max="8466" width="13.7109375" customWidth="1"/>
    <col min="8467" max="8467" width="14" customWidth="1"/>
    <col min="8705" max="8705" width="14.5703125" customWidth="1"/>
    <col min="8706" max="8706" width="27" customWidth="1"/>
    <col min="8707" max="8707" width="15.85546875" customWidth="1"/>
    <col min="8709" max="8709" width="17.7109375" customWidth="1"/>
    <col min="8711" max="8711" width="15.140625" customWidth="1"/>
    <col min="8713" max="8713" width="13.5703125" customWidth="1"/>
    <col min="8715" max="8715" width="13.28515625" customWidth="1"/>
    <col min="8717" max="8719" width="14.28515625" customWidth="1"/>
    <col min="8720" max="8720" width="14.85546875" customWidth="1"/>
    <col min="8721" max="8721" width="23" customWidth="1"/>
    <col min="8722" max="8722" width="13.7109375" customWidth="1"/>
    <col min="8723" max="8723" width="14" customWidth="1"/>
    <col min="8961" max="8961" width="14.5703125" customWidth="1"/>
    <col min="8962" max="8962" width="27" customWidth="1"/>
    <col min="8963" max="8963" width="15.85546875" customWidth="1"/>
    <col min="8965" max="8965" width="17.7109375" customWidth="1"/>
    <col min="8967" max="8967" width="15.140625" customWidth="1"/>
    <col min="8969" max="8969" width="13.5703125" customWidth="1"/>
    <col min="8971" max="8971" width="13.28515625" customWidth="1"/>
    <col min="8973" max="8975" width="14.28515625" customWidth="1"/>
    <col min="8976" max="8976" width="14.85546875" customWidth="1"/>
    <col min="8977" max="8977" width="23" customWidth="1"/>
    <col min="8978" max="8978" width="13.7109375" customWidth="1"/>
    <col min="8979" max="8979" width="14" customWidth="1"/>
    <col min="9217" max="9217" width="14.5703125" customWidth="1"/>
    <col min="9218" max="9218" width="27" customWidth="1"/>
    <col min="9219" max="9219" width="15.85546875" customWidth="1"/>
    <col min="9221" max="9221" width="17.7109375" customWidth="1"/>
    <col min="9223" max="9223" width="15.140625" customWidth="1"/>
    <col min="9225" max="9225" width="13.5703125" customWidth="1"/>
    <col min="9227" max="9227" width="13.28515625" customWidth="1"/>
    <col min="9229" max="9231" width="14.28515625" customWidth="1"/>
    <col min="9232" max="9232" width="14.85546875" customWidth="1"/>
    <col min="9233" max="9233" width="23" customWidth="1"/>
    <col min="9234" max="9234" width="13.7109375" customWidth="1"/>
    <col min="9235" max="9235" width="14" customWidth="1"/>
    <col min="9473" max="9473" width="14.5703125" customWidth="1"/>
    <col min="9474" max="9474" width="27" customWidth="1"/>
    <col min="9475" max="9475" width="15.85546875" customWidth="1"/>
    <col min="9477" max="9477" width="17.7109375" customWidth="1"/>
    <col min="9479" max="9479" width="15.140625" customWidth="1"/>
    <col min="9481" max="9481" width="13.5703125" customWidth="1"/>
    <col min="9483" max="9483" width="13.28515625" customWidth="1"/>
    <col min="9485" max="9487" width="14.28515625" customWidth="1"/>
    <col min="9488" max="9488" width="14.85546875" customWidth="1"/>
    <col min="9489" max="9489" width="23" customWidth="1"/>
    <col min="9490" max="9490" width="13.7109375" customWidth="1"/>
    <col min="9491" max="9491" width="14" customWidth="1"/>
    <col min="9729" max="9729" width="14.5703125" customWidth="1"/>
    <col min="9730" max="9730" width="27" customWidth="1"/>
    <col min="9731" max="9731" width="15.85546875" customWidth="1"/>
    <col min="9733" max="9733" width="17.7109375" customWidth="1"/>
    <col min="9735" max="9735" width="15.140625" customWidth="1"/>
    <col min="9737" max="9737" width="13.5703125" customWidth="1"/>
    <col min="9739" max="9739" width="13.28515625" customWidth="1"/>
    <col min="9741" max="9743" width="14.28515625" customWidth="1"/>
    <col min="9744" max="9744" width="14.85546875" customWidth="1"/>
    <col min="9745" max="9745" width="23" customWidth="1"/>
    <col min="9746" max="9746" width="13.7109375" customWidth="1"/>
    <col min="9747" max="9747" width="14" customWidth="1"/>
    <col min="9985" max="9985" width="14.5703125" customWidth="1"/>
    <col min="9986" max="9986" width="27" customWidth="1"/>
    <col min="9987" max="9987" width="15.85546875" customWidth="1"/>
    <col min="9989" max="9989" width="17.7109375" customWidth="1"/>
    <col min="9991" max="9991" width="15.140625" customWidth="1"/>
    <col min="9993" max="9993" width="13.5703125" customWidth="1"/>
    <col min="9995" max="9995" width="13.28515625" customWidth="1"/>
    <col min="9997" max="9999" width="14.28515625" customWidth="1"/>
    <col min="10000" max="10000" width="14.85546875" customWidth="1"/>
    <col min="10001" max="10001" width="23" customWidth="1"/>
    <col min="10002" max="10002" width="13.7109375" customWidth="1"/>
    <col min="10003" max="10003" width="14" customWidth="1"/>
    <col min="10241" max="10241" width="14.5703125" customWidth="1"/>
    <col min="10242" max="10242" width="27" customWidth="1"/>
    <col min="10243" max="10243" width="15.85546875" customWidth="1"/>
    <col min="10245" max="10245" width="17.7109375" customWidth="1"/>
    <col min="10247" max="10247" width="15.140625" customWidth="1"/>
    <col min="10249" max="10249" width="13.5703125" customWidth="1"/>
    <col min="10251" max="10251" width="13.28515625" customWidth="1"/>
    <col min="10253" max="10255" width="14.28515625" customWidth="1"/>
    <col min="10256" max="10256" width="14.85546875" customWidth="1"/>
    <col min="10257" max="10257" width="23" customWidth="1"/>
    <col min="10258" max="10258" width="13.7109375" customWidth="1"/>
    <col min="10259" max="10259" width="14" customWidth="1"/>
    <col min="10497" max="10497" width="14.5703125" customWidth="1"/>
    <col min="10498" max="10498" width="27" customWidth="1"/>
    <col min="10499" max="10499" width="15.85546875" customWidth="1"/>
    <col min="10501" max="10501" width="17.7109375" customWidth="1"/>
    <col min="10503" max="10503" width="15.140625" customWidth="1"/>
    <col min="10505" max="10505" width="13.5703125" customWidth="1"/>
    <col min="10507" max="10507" width="13.28515625" customWidth="1"/>
    <col min="10509" max="10511" width="14.28515625" customWidth="1"/>
    <col min="10512" max="10512" width="14.85546875" customWidth="1"/>
    <col min="10513" max="10513" width="23" customWidth="1"/>
    <col min="10514" max="10514" width="13.7109375" customWidth="1"/>
    <col min="10515" max="10515" width="14" customWidth="1"/>
    <col min="10753" max="10753" width="14.5703125" customWidth="1"/>
    <col min="10754" max="10754" width="27" customWidth="1"/>
    <col min="10755" max="10755" width="15.85546875" customWidth="1"/>
    <col min="10757" max="10757" width="17.7109375" customWidth="1"/>
    <col min="10759" max="10759" width="15.140625" customWidth="1"/>
    <col min="10761" max="10761" width="13.5703125" customWidth="1"/>
    <col min="10763" max="10763" width="13.28515625" customWidth="1"/>
    <col min="10765" max="10767" width="14.28515625" customWidth="1"/>
    <col min="10768" max="10768" width="14.85546875" customWidth="1"/>
    <col min="10769" max="10769" width="23" customWidth="1"/>
    <col min="10770" max="10770" width="13.7109375" customWidth="1"/>
    <col min="10771" max="10771" width="14" customWidth="1"/>
    <col min="11009" max="11009" width="14.5703125" customWidth="1"/>
    <col min="11010" max="11010" width="27" customWidth="1"/>
    <col min="11011" max="11011" width="15.85546875" customWidth="1"/>
    <col min="11013" max="11013" width="17.7109375" customWidth="1"/>
    <col min="11015" max="11015" width="15.140625" customWidth="1"/>
    <col min="11017" max="11017" width="13.5703125" customWidth="1"/>
    <col min="11019" max="11019" width="13.28515625" customWidth="1"/>
    <col min="11021" max="11023" width="14.28515625" customWidth="1"/>
    <col min="11024" max="11024" width="14.85546875" customWidth="1"/>
    <col min="11025" max="11025" width="23" customWidth="1"/>
    <col min="11026" max="11026" width="13.7109375" customWidth="1"/>
    <col min="11027" max="11027" width="14" customWidth="1"/>
    <col min="11265" max="11265" width="14.5703125" customWidth="1"/>
    <col min="11266" max="11266" width="27" customWidth="1"/>
    <col min="11267" max="11267" width="15.85546875" customWidth="1"/>
    <col min="11269" max="11269" width="17.7109375" customWidth="1"/>
    <col min="11271" max="11271" width="15.140625" customWidth="1"/>
    <col min="11273" max="11273" width="13.5703125" customWidth="1"/>
    <col min="11275" max="11275" width="13.28515625" customWidth="1"/>
    <col min="11277" max="11279" width="14.28515625" customWidth="1"/>
    <col min="11280" max="11280" width="14.85546875" customWidth="1"/>
    <col min="11281" max="11281" width="23" customWidth="1"/>
    <col min="11282" max="11282" width="13.7109375" customWidth="1"/>
    <col min="11283" max="11283" width="14" customWidth="1"/>
    <col min="11521" max="11521" width="14.5703125" customWidth="1"/>
    <col min="11522" max="11522" width="27" customWidth="1"/>
    <col min="11523" max="11523" width="15.85546875" customWidth="1"/>
    <col min="11525" max="11525" width="17.7109375" customWidth="1"/>
    <col min="11527" max="11527" width="15.140625" customWidth="1"/>
    <col min="11529" max="11529" width="13.5703125" customWidth="1"/>
    <col min="11531" max="11531" width="13.28515625" customWidth="1"/>
    <col min="11533" max="11535" width="14.28515625" customWidth="1"/>
    <col min="11536" max="11536" width="14.85546875" customWidth="1"/>
    <col min="11537" max="11537" width="23" customWidth="1"/>
    <col min="11538" max="11538" width="13.7109375" customWidth="1"/>
    <col min="11539" max="11539" width="14" customWidth="1"/>
    <col min="11777" max="11777" width="14.5703125" customWidth="1"/>
    <col min="11778" max="11778" width="27" customWidth="1"/>
    <col min="11779" max="11779" width="15.85546875" customWidth="1"/>
    <col min="11781" max="11781" width="17.7109375" customWidth="1"/>
    <col min="11783" max="11783" width="15.140625" customWidth="1"/>
    <col min="11785" max="11785" width="13.5703125" customWidth="1"/>
    <col min="11787" max="11787" width="13.28515625" customWidth="1"/>
    <col min="11789" max="11791" width="14.28515625" customWidth="1"/>
    <col min="11792" max="11792" width="14.85546875" customWidth="1"/>
    <col min="11793" max="11793" width="23" customWidth="1"/>
    <col min="11794" max="11794" width="13.7109375" customWidth="1"/>
    <col min="11795" max="11795" width="14" customWidth="1"/>
    <col min="12033" max="12033" width="14.5703125" customWidth="1"/>
    <col min="12034" max="12034" width="27" customWidth="1"/>
    <col min="12035" max="12035" width="15.85546875" customWidth="1"/>
    <col min="12037" max="12037" width="17.7109375" customWidth="1"/>
    <col min="12039" max="12039" width="15.140625" customWidth="1"/>
    <col min="12041" max="12041" width="13.5703125" customWidth="1"/>
    <col min="12043" max="12043" width="13.28515625" customWidth="1"/>
    <col min="12045" max="12047" width="14.28515625" customWidth="1"/>
    <col min="12048" max="12048" width="14.85546875" customWidth="1"/>
    <col min="12049" max="12049" width="23" customWidth="1"/>
    <col min="12050" max="12050" width="13.7109375" customWidth="1"/>
    <col min="12051" max="12051" width="14" customWidth="1"/>
    <col min="12289" max="12289" width="14.5703125" customWidth="1"/>
    <col min="12290" max="12290" width="27" customWidth="1"/>
    <col min="12291" max="12291" width="15.85546875" customWidth="1"/>
    <col min="12293" max="12293" width="17.7109375" customWidth="1"/>
    <col min="12295" max="12295" width="15.140625" customWidth="1"/>
    <col min="12297" max="12297" width="13.5703125" customWidth="1"/>
    <col min="12299" max="12299" width="13.28515625" customWidth="1"/>
    <col min="12301" max="12303" width="14.28515625" customWidth="1"/>
    <col min="12304" max="12304" width="14.85546875" customWidth="1"/>
    <col min="12305" max="12305" width="23" customWidth="1"/>
    <col min="12306" max="12306" width="13.7109375" customWidth="1"/>
    <col min="12307" max="12307" width="14" customWidth="1"/>
    <col min="12545" max="12545" width="14.5703125" customWidth="1"/>
    <col min="12546" max="12546" width="27" customWidth="1"/>
    <col min="12547" max="12547" width="15.85546875" customWidth="1"/>
    <col min="12549" max="12549" width="17.7109375" customWidth="1"/>
    <col min="12551" max="12551" width="15.140625" customWidth="1"/>
    <col min="12553" max="12553" width="13.5703125" customWidth="1"/>
    <col min="12555" max="12555" width="13.28515625" customWidth="1"/>
    <col min="12557" max="12559" width="14.28515625" customWidth="1"/>
    <col min="12560" max="12560" width="14.85546875" customWidth="1"/>
    <col min="12561" max="12561" width="23" customWidth="1"/>
    <col min="12562" max="12562" width="13.7109375" customWidth="1"/>
    <col min="12563" max="12563" width="14" customWidth="1"/>
    <col min="12801" max="12801" width="14.5703125" customWidth="1"/>
    <col min="12802" max="12802" width="27" customWidth="1"/>
    <col min="12803" max="12803" width="15.85546875" customWidth="1"/>
    <col min="12805" max="12805" width="17.7109375" customWidth="1"/>
    <col min="12807" max="12807" width="15.140625" customWidth="1"/>
    <col min="12809" max="12809" width="13.5703125" customWidth="1"/>
    <col min="12811" max="12811" width="13.28515625" customWidth="1"/>
    <col min="12813" max="12815" width="14.28515625" customWidth="1"/>
    <col min="12816" max="12816" width="14.85546875" customWidth="1"/>
    <col min="12817" max="12817" width="23" customWidth="1"/>
    <col min="12818" max="12818" width="13.7109375" customWidth="1"/>
    <col min="12819" max="12819" width="14" customWidth="1"/>
    <col min="13057" max="13057" width="14.5703125" customWidth="1"/>
    <col min="13058" max="13058" width="27" customWidth="1"/>
    <col min="13059" max="13059" width="15.85546875" customWidth="1"/>
    <col min="13061" max="13061" width="17.7109375" customWidth="1"/>
    <col min="13063" max="13063" width="15.140625" customWidth="1"/>
    <col min="13065" max="13065" width="13.5703125" customWidth="1"/>
    <col min="13067" max="13067" width="13.28515625" customWidth="1"/>
    <col min="13069" max="13071" width="14.28515625" customWidth="1"/>
    <col min="13072" max="13072" width="14.85546875" customWidth="1"/>
    <col min="13073" max="13073" width="23" customWidth="1"/>
    <col min="13074" max="13074" width="13.7109375" customWidth="1"/>
    <col min="13075" max="13075" width="14" customWidth="1"/>
    <col min="13313" max="13313" width="14.5703125" customWidth="1"/>
    <col min="13314" max="13314" width="27" customWidth="1"/>
    <col min="13315" max="13315" width="15.85546875" customWidth="1"/>
    <col min="13317" max="13317" width="17.7109375" customWidth="1"/>
    <col min="13319" max="13319" width="15.140625" customWidth="1"/>
    <col min="13321" max="13321" width="13.5703125" customWidth="1"/>
    <col min="13323" max="13323" width="13.28515625" customWidth="1"/>
    <col min="13325" max="13327" width="14.28515625" customWidth="1"/>
    <col min="13328" max="13328" width="14.85546875" customWidth="1"/>
    <col min="13329" max="13329" width="23" customWidth="1"/>
    <col min="13330" max="13330" width="13.7109375" customWidth="1"/>
    <col min="13331" max="13331" width="14" customWidth="1"/>
    <col min="13569" max="13569" width="14.5703125" customWidth="1"/>
    <col min="13570" max="13570" width="27" customWidth="1"/>
    <col min="13571" max="13571" width="15.85546875" customWidth="1"/>
    <col min="13573" max="13573" width="17.7109375" customWidth="1"/>
    <col min="13575" max="13575" width="15.140625" customWidth="1"/>
    <col min="13577" max="13577" width="13.5703125" customWidth="1"/>
    <col min="13579" max="13579" width="13.28515625" customWidth="1"/>
    <col min="13581" max="13583" width="14.28515625" customWidth="1"/>
    <col min="13584" max="13584" width="14.85546875" customWidth="1"/>
    <col min="13585" max="13585" width="23" customWidth="1"/>
    <col min="13586" max="13586" width="13.7109375" customWidth="1"/>
    <col min="13587" max="13587" width="14" customWidth="1"/>
    <col min="13825" max="13825" width="14.5703125" customWidth="1"/>
    <col min="13826" max="13826" width="27" customWidth="1"/>
    <col min="13827" max="13827" width="15.85546875" customWidth="1"/>
    <col min="13829" max="13829" width="17.7109375" customWidth="1"/>
    <col min="13831" max="13831" width="15.140625" customWidth="1"/>
    <col min="13833" max="13833" width="13.5703125" customWidth="1"/>
    <col min="13835" max="13835" width="13.28515625" customWidth="1"/>
    <col min="13837" max="13839" width="14.28515625" customWidth="1"/>
    <col min="13840" max="13840" width="14.85546875" customWidth="1"/>
    <col min="13841" max="13841" width="23" customWidth="1"/>
    <col min="13842" max="13842" width="13.7109375" customWidth="1"/>
    <col min="13843" max="13843" width="14" customWidth="1"/>
    <col min="14081" max="14081" width="14.5703125" customWidth="1"/>
    <col min="14082" max="14082" width="27" customWidth="1"/>
    <col min="14083" max="14083" width="15.85546875" customWidth="1"/>
    <col min="14085" max="14085" width="17.7109375" customWidth="1"/>
    <col min="14087" max="14087" width="15.140625" customWidth="1"/>
    <col min="14089" max="14089" width="13.5703125" customWidth="1"/>
    <col min="14091" max="14091" width="13.28515625" customWidth="1"/>
    <col min="14093" max="14095" width="14.28515625" customWidth="1"/>
    <col min="14096" max="14096" width="14.85546875" customWidth="1"/>
    <col min="14097" max="14097" width="23" customWidth="1"/>
    <col min="14098" max="14098" width="13.7109375" customWidth="1"/>
    <col min="14099" max="14099" width="14" customWidth="1"/>
    <col min="14337" max="14337" width="14.5703125" customWidth="1"/>
    <col min="14338" max="14338" width="27" customWidth="1"/>
    <col min="14339" max="14339" width="15.85546875" customWidth="1"/>
    <col min="14341" max="14341" width="17.7109375" customWidth="1"/>
    <col min="14343" max="14343" width="15.140625" customWidth="1"/>
    <col min="14345" max="14345" width="13.5703125" customWidth="1"/>
    <col min="14347" max="14347" width="13.28515625" customWidth="1"/>
    <col min="14349" max="14351" width="14.28515625" customWidth="1"/>
    <col min="14352" max="14352" width="14.85546875" customWidth="1"/>
    <col min="14353" max="14353" width="23" customWidth="1"/>
    <col min="14354" max="14354" width="13.7109375" customWidth="1"/>
    <col min="14355" max="14355" width="14" customWidth="1"/>
    <col min="14593" max="14593" width="14.5703125" customWidth="1"/>
    <col min="14594" max="14594" width="27" customWidth="1"/>
    <col min="14595" max="14595" width="15.85546875" customWidth="1"/>
    <col min="14597" max="14597" width="17.7109375" customWidth="1"/>
    <col min="14599" max="14599" width="15.140625" customWidth="1"/>
    <col min="14601" max="14601" width="13.5703125" customWidth="1"/>
    <col min="14603" max="14603" width="13.28515625" customWidth="1"/>
    <col min="14605" max="14607" width="14.28515625" customWidth="1"/>
    <col min="14608" max="14608" width="14.85546875" customWidth="1"/>
    <col min="14609" max="14609" width="23" customWidth="1"/>
    <col min="14610" max="14610" width="13.7109375" customWidth="1"/>
    <col min="14611" max="14611" width="14" customWidth="1"/>
    <col min="14849" max="14849" width="14.5703125" customWidth="1"/>
    <col min="14850" max="14850" width="27" customWidth="1"/>
    <col min="14851" max="14851" width="15.85546875" customWidth="1"/>
    <col min="14853" max="14853" width="17.7109375" customWidth="1"/>
    <col min="14855" max="14855" width="15.140625" customWidth="1"/>
    <col min="14857" max="14857" width="13.5703125" customWidth="1"/>
    <col min="14859" max="14859" width="13.28515625" customWidth="1"/>
    <col min="14861" max="14863" width="14.28515625" customWidth="1"/>
    <col min="14864" max="14864" width="14.85546875" customWidth="1"/>
    <col min="14865" max="14865" width="23" customWidth="1"/>
    <col min="14866" max="14866" width="13.7109375" customWidth="1"/>
    <col min="14867" max="14867" width="14" customWidth="1"/>
    <col min="15105" max="15105" width="14.5703125" customWidth="1"/>
    <col min="15106" max="15106" width="27" customWidth="1"/>
    <col min="15107" max="15107" width="15.85546875" customWidth="1"/>
    <col min="15109" max="15109" width="17.7109375" customWidth="1"/>
    <col min="15111" max="15111" width="15.140625" customWidth="1"/>
    <col min="15113" max="15113" width="13.5703125" customWidth="1"/>
    <col min="15115" max="15115" width="13.28515625" customWidth="1"/>
    <col min="15117" max="15119" width="14.28515625" customWidth="1"/>
    <col min="15120" max="15120" width="14.85546875" customWidth="1"/>
    <col min="15121" max="15121" width="23" customWidth="1"/>
    <col min="15122" max="15122" width="13.7109375" customWidth="1"/>
    <col min="15123" max="15123" width="14" customWidth="1"/>
    <col min="15361" max="15361" width="14.5703125" customWidth="1"/>
    <col min="15362" max="15362" width="27" customWidth="1"/>
    <col min="15363" max="15363" width="15.85546875" customWidth="1"/>
    <col min="15365" max="15365" width="17.7109375" customWidth="1"/>
    <col min="15367" max="15367" width="15.140625" customWidth="1"/>
    <col min="15369" max="15369" width="13.5703125" customWidth="1"/>
    <col min="15371" max="15371" width="13.28515625" customWidth="1"/>
    <col min="15373" max="15375" width="14.28515625" customWidth="1"/>
    <col min="15376" max="15376" width="14.85546875" customWidth="1"/>
    <col min="15377" max="15377" width="23" customWidth="1"/>
    <col min="15378" max="15378" width="13.7109375" customWidth="1"/>
    <col min="15379" max="15379" width="14" customWidth="1"/>
    <col min="15617" max="15617" width="14.5703125" customWidth="1"/>
    <col min="15618" max="15618" width="27" customWidth="1"/>
    <col min="15619" max="15619" width="15.85546875" customWidth="1"/>
    <col min="15621" max="15621" width="17.7109375" customWidth="1"/>
    <col min="15623" max="15623" width="15.140625" customWidth="1"/>
    <col min="15625" max="15625" width="13.5703125" customWidth="1"/>
    <col min="15627" max="15627" width="13.28515625" customWidth="1"/>
    <col min="15629" max="15631" width="14.28515625" customWidth="1"/>
    <col min="15632" max="15632" width="14.85546875" customWidth="1"/>
    <col min="15633" max="15633" width="23" customWidth="1"/>
    <col min="15634" max="15634" width="13.7109375" customWidth="1"/>
    <col min="15635" max="15635" width="14" customWidth="1"/>
    <col min="15873" max="15873" width="14.5703125" customWidth="1"/>
    <col min="15874" max="15874" width="27" customWidth="1"/>
    <col min="15875" max="15875" width="15.85546875" customWidth="1"/>
    <col min="15877" max="15877" width="17.7109375" customWidth="1"/>
    <col min="15879" max="15879" width="15.140625" customWidth="1"/>
    <col min="15881" max="15881" width="13.5703125" customWidth="1"/>
    <col min="15883" max="15883" width="13.28515625" customWidth="1"/>
    <col min="15885" max="15887" width="14.28515625" customWidth="1"/>
    <col min="15888" max="15888" width="14.85546875" customWidth="1"/>
    <col min="15889" max="15889" width="23" customWidth="1"/>
    <col min="15890" max="15890" width="13.7109375" customWidth="1"/>
    <col min="15891" max="15891" width="14" customWidth="1"/>
    <col min="16129" max="16129" width="14.5703125" customWidth="1"/>
    <col min="16130" max="16130" width="27" customWidth="1"/>
    <col min="16131" max="16131" width="15.85546875" customWidth="1"/>
    <col min="16133" max="16133" width="17.7109375" customWidth="1"/>
    <col min="16135" max="16135" width="15.140625" customWidth="1"/>
    <col min="16137" max="16137" width="13.5703125" customWidth="1"/>
    <col min="16139" max="16139" width="13.28515625" customWidth="1"/>
    <col min="16141" max="16143" width="14.28515625" customWidth="1"/>
    <col min="16144" max="16144" width="14.85546875" customWidth="1"/>
    <col min="16145" max="16145" width="23" customWidth="1"/>
    <col min="16146" max="16146" width="13.7109375" customWidth="1"/>
    <col min="16147" max="16147" width="14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1000</v>
      </c>
      <c r="B6">
        <v>0</v>
      </c>
      <c r="C6">
        <v>892.75031999999999</v>
      </c>
      <c r="D6">
        <v>1</v>
      </c>
      <c r="E6">
        <v>699.03652</v>
      </c>
      <c r="F6">
        <v>1</v>
      </c>
      <c r="G6">
        <v>283.44973999999996</v>
      </c>
      <c r="H6">
        <v>1</v>
      </c>
      <c r="I6">
        <v>105.224896</v>
      </c>
      <c r="K6">
        <v>41.832923999999998</v>
      </c>
      <c r="L6">
        <v>1</v>
      </c>
      <c r="M6">
        <v>18.829719999999998</v>
      </c>
      <c r="N6">
        <v>0</v>
      </c>
      <c r="O6">
        <v>8.7127683999999999</v>
      </c>
      <c r="P6" s="3">
        <f>(B6*C6)+(D6*E6)+(F6*G6)+(H6*I6)+(J6*K6)+(L6*M6)+(N6*O6)</f>
        <v>1106.5408759999998</v>
      </c>
    </row>
    <row r="7" spans="1:19" x14ac:dyDescent="0.2">
      <c r="A7">
        <v>2000</v>
      </c>
      <c r="B7">
        <v>12</v>
      </c>
      <c r="C7">
        <v>892.75031999999999</v>
      </c>
      <c r="D7">
        <v>7</v>
      </c>
      <c r="E7">
        <v>699.03652</v>
      </c>
      <c r="F7">
        <v>18</v>
      </c>
      <c r="G7">
        <v>283.44973999999996</v>
      </c>
      <c r="H7">
        <v>30</v>
      </c>
      <c r="I7">
        <v>105.224896</v>
      </c>
      <c r="J7">
        <v>30</v>
      </c>
      <c r="K7">
        <v>41.832923999999998</v>
      </c>
      <c r="L7">
        <v>35</v>
      </c>
      <c r="M7">
        <v>18.829719999999998</v>
      </c>
      <c r="N7">
        <v>29</v>
      </c>
      <c r="O7">
        <v>8.7127683999999999</v>
      </c>
      <c r="P7" s="3">
        <f t="shared" ref="P7:P21" si="0">(B7*C7)+(D7*E7)+(F7*G7)+(H7*I7)+(J7*K7)+(L7*M7)+(N7*O7)</f>
        <v>26031.799883600001</v>
      </c>
    </row>
    <row r="8" spans="1:19" x14ac:dyDescent="0.2">
      <c r="A8">
        <v>3000</v>
      </c>
      <c r="B8">
        <v>36</v>
      </c>
      <c r="C8">
        <v>892.75031999999999</v>
      </c>
      <c r="D8">
        <v>18</v>
      </c>
      <c r="E8">
        <v>699.03652</v>
      </c>
      <c r="F8">
        <v>17</v>
      </c>
      <c r="G8">
        <v>283.44973999999996</v>
      </c>
      <c r="H8">
        <v>78</v>
      </c>
      <c r="I8">
        <v>105.224896</v>
      </c>
      <c r="J8">
        <v>109</v>
      </c>
      <c r="K8">
        <v>41.832923999999998</v>
      </c>
      <c r="L8">
        <v>146</v>
      </c>
      <c r="M8">
        <v>18.829719999999998</v>
      </c>
      <c r="N8">
        <v>93</v>
      </c>
      <c r="O8">
        <v>8.7127683999999999</v>
      </c>
      <c r="P8" s="3">
        <f t="shared" si="0"/>
        <v>65867.071645199991</v>
      </c>
    </row>
    <row r="9" spans="1:19" x14ac:dyDescent="0.2">
      <c r="A9">
        <v>4000</v>
      </c>
      <c r="B9">
        <v>17</v>
      </c>
      <c r="C9">
        <v>892.75031999999999</v>
      </c>
      <c r="D9">
        <v>12</v>
      </c>
      <c r="E9">
        <v>699.03652</v>
      </c>
      <c r="F9">
        <v>25</v>
      </c>
      <c r="G9">
        <v>283.44973999999996</v>
      </c>
      <c r="H9">
        <v>38</v>
      </c>
      <c r="I9">
        <v>105.224896</v>
      </c>
      <c r="J9">
        <v>86</v>
      </c>
      <c r="K9">
        <v>41.832923999999998</v>
      </c>
      <c r="L9">
        <v>109</v>
      </c>
      <c r="M9">
        <v>18.829719999999998</v>
      </c>
      <c r="N9">
        <v>76</v>
      </c>
      <c r="O9">
        <v>8.7127683999999999</v>
      </c>
      <c r="P9" s="3">
        <f t="shared" si="0"/>
        <v>40962.224570399994</v>
      </c>
    </row>
    <row r="10" spans="1:19" x14ac:dyDescent="0.2">
      <c r="A10">
        <v>5000</v>
      </c>
      <c r="B10">
        <v>52</v>
      </c>
      <c r="C10">
        <v>892.75031999999999</v>
      </c>
      <c r="D10">
        <v>94</v>
      </c>
      <c r="E10">
        <v>699.03652</v>
      </c>
      <c r="F10">
        <v>241</v>
      </c>
      <c r="G10">
        <v>283.44973999999996</v>
      </c>
      <c r="H10">
        <v>640</v>
      </c>
      <c r="I10">
        <v>105.224896</v>
      </c>
      <c r="J10">
        <v>1108</v>
      </c>
      <c r="K10">
        <v>41.832923999999998</v>
      </c>
      <c r="L10">
        <v>1151</v>
      </c>
      <c r="M10">
        <v>18.829719999999998</v>
      </c>
      <c r="N10">
        <v>666</v>
      </c>
      <c r="O10">
        <v>8.7127683999999999</v>
      </c>
      <c r="P10" s="3">
        <f t="shared" si="0"/>
        <v>321614.36156639998</v>
      </c>
    </row>
    <row r="11" spans="1:19" x14ac:dyDescent="0.2">
      <c r="A11">
        <v>10000</v>
      </c>
      <c r="B11">
        <v>10</v>
      </c>
      <c r="C11">
        <v>892.75031999999999</v>
      </c>
      <c r="D11">
        <v>38</v>
      </c>
      <c r="E11">
        <v>699.03652</v>
      </c>
      <c r="F11">
        <v>106</v>
      </c>
      <c r="G11">
        <v>283.44973999999996</v>
      </c>
      <c r="H11">
        <v>252</v>
      </c>
      <c r="I11">
        <v>105.224896</v>
      </c>
      <c r="J11">
        <v>459</v>
      </c>
      <c r="K11">
        <v>41.832923999999998</v>
      </c>
      <c r="L11">
        <v>515</v>
      </c>
      <c r="M11">
        <v>18.829719999999998</v>
      </c>
      <c r="N11">
        <v>291</v>
      </c>
      <c r="O11">
        <v>8.7127683999999999</v>
      </c>
      <c r="P11" s="3">
        <f t="shared" si="0"/>
        <v>123487.2707124</v>
      </c>
    </row>
    <row r="12" spans="1:19" x14ac:dyDescent="0.2">
      <c r="A12">
        <v>15000</v>
      </c>
      <c r="B12">
        <v>5</v>
      </c>
      <c r="C12">
        <v>892.75031999999999</v>
      </c>
      <c r="D12">
        <v>14</v>
      </c>
      <c r="E12">
        <v>699.03652</v>
      </c>
      <c r="F12">
        <v>58</v>
      </c>
      <c r="G12">
        <v>283.44973999999996</v>
      </c>
      <c r="H12">
        <v>131</v>
      </c>
      <c r="I12">
        <v>105.224896</v>
      </c>
      <c r="J12">
        <v>238</v>
      </c>
      <c r="K12">
        <v>41.832923999999998</v>
      </c>
      <c r="L12">
        <v>333</v>
      </c>
      <c r="M12">
        <v>18.829719999999998</v>
      </c>
      <c r="N12">
        <v>201</v>
      </c>
      <c r="O12">
        <v>8.7127683999999999</v>
      </c>
      <c r="P12" s="3">
        <f t="shared" si="0"/>
        <v>62452.608296399994</v>
      </c>
      <c r="Q12" s="3">
        <f t="shared" ref="Q12:Q19" si="1">Q13+P12</f>
        <v>213589.73249319999</v>
      </c>
      <c r="R12">
        <v>3303400</v>
      </c>
      <c r="S12" s="21">
        <f t="shared" ref="S12:S20" si="2">(Q12/R12)*100</f>
        <v>6.4657544497547974</v>
      </c>
    </row>
    <row r="13" spans="1:19" x14ac:dyDescent="0.2">
      <c r="A13">
        <v>20000</v>
      </c>
      <c r="B13">
        <v>3</v>
      </c>
      <c r="C13">
        <v>892.75031999999999</v>
      </c>
      <c r="D13">
        <v>13</v>
      </c>
      <c r="E13">
        <v>699.03652</v>
      </c>
      <c r="F13">
        <v>25</v>
      </c>
      <c r="G13">
        <v>283.44973999999996</v>
      </c>
      <c r="H13">
        <v>76</v>
      </c>
      <c r="I13">
        <v>105.224896</v>
      </c>
      <c r="J13">
        <v>173</v>
      </c>
      <c r="K13">
        <v>41.832923999999998</v>
      </c>
      <c r="L13">
        <v>195</v>
      </c>
      <c r="M13">
        <v>18.829719999999998</v>
      </c>
      <c r="N13">
        <v>150</v>
      </c>
      <c r="O13">
        <v>8.7127683999999999</v>
      </c>
      <c r="P13" s="3">
        <f t="shared" si="0"/>
        <v>39064.867828000002</v>
      </c>
      <c r="Q13" s="3">
        <f t="shared" si="1"/>
        <v>151137.1241968</v>
      </c>
      <c r="R13">
        <v>3303400</v>
      </c>
      <c r="S13" s="21">
        <f t="shared" si="2"/>
        <v>4.5751990130411091</v>
      </c>
    </row>
    <row r="14" spans="1:19" x14ac:dyDescent="0.2">
      <c r="A14">
        <v>25000</v>
      </c>
      <c r="B14">
        <v>0</v>
      </c>
      <c r="C14">
        <v>892.75031999999999</v>
      </c>
      <c r="D14">
        <v>12</v>
      </c>
      <c r="E14">
        <v>699.03652</v>
      </c>
      <c r="F14">
        <v>26</v>
      </c>
      <c r="G14">
        <v>283.44973999999996</v>
      </c>
      <c r="H14">
        <v>72</v>
      </c>
      <c r="I14">
        <v>105.224896</v>
      </c>
      <c r="J14">
        <v>124</v>
      </c>
      <c r="K14">
        <v>41.832923999999998</v>
      </c>
      <c r="L14">
        <v>151</v>
      </c>
      <c r="M14">
        <v>18.829719999999998</v>
      </c>
      <c r="N14">
        <v>89</v>
      </c>
      <c r="O14">
        <v>8.7127683999999999</v>
      </c>
      <c r="P14" s="3">
        <f t="shared" si="0"/>
        <v>32140.330675599995</v>
      </c>
      <c r="Q14" s="3">
        <f t="shared" si="1"/>
        <v>112072.25636879999</v>
      </c>
      <c r="R14">
        <v>3303400</v>
      </c>
      <c r="S14" s="21">
        <f t="shared" si="2"/>
        <v>3.3926335402554941</v>
      </c>
    </row>
    <row r="15" spans="1:19" x14ac:dyDescent="0.2">
      <c r="A15">
        <v>30000</v>
      </c>
      <c r="B15">
        <v>3</v>
      </c>
      <c r="C15">
        <v>892.75031999999999</v>
      </c>
      <c r="D15">
        <v>6</v>
      </c>
      <c r="E15">
        <v>699.03652</v>
      </c>
      <c r="F15">
        <v>30</v>
      </c>
      <c r="G15">
        <v>283.44973999999996</v>
      </c>
      <c r="H15">
        <v>88</v>
      </c>
      <c r="I15">
        <v>105.224896</v>
      </c>
      <c r="J15">
        <v>131</v>
      </c>
      <c r="K15">
        <v>41.832923999999998</v>
      </c>
      <c r="L15">
        <v>180</v>
      </c>
      <c r="M15">
        <v>18.829719999999998</v>
      </c>
      <c r="N15">
        <v>117</v>
      </c>
      <c r="O15">
        <v>8.7127683999999999</v>
      </c>
      <c r="P15" s="3">
        <f t="shared" si="0"/>
        <v>34524.609674799998</v>
      </c>
      <c r="Q15" s="3">
        <f t="shared" si="1"/>
        <v>79931.925693199999</v>
      </c>
      <c r="R15">
        <v>3303400</v>
      </c>
      <c r="S15" s="21">
        <f t="shared" si="2"/>
        <v>2.4196865560695042</v>
      </c>
    </row>
    <row r="16" spans="1:19" x14ac:dyDescent="0.2">
      <c r="A16">
        <v>40000</v>
      </c>
      <c r="B16">
        <v>0</v>
      </c>
      <c r="C16">
        <v>892.75031999999999</v>
      </c>
      <c r="D16">
        <v>0</v>
      </c>
      <c r="E16">
        <v>699.03652</v>
      </c>
      <c r="F16">
        <v>18</v>
      </c>
      <c r="G16">
        <v>283.44973999999996</v>
      </c>
      <c r="H16">
        <v>36</v>
      </c>
      <c r="I16">
        <v>105.224896</v>
      </c>
      <c r="J16">
        <v>75</v>
      </c>
      <c r="K16">
        <v>41.832923999999998</v>
      </c>
      <c r="L16">
        <v>79</v>
      </c>
      <c r="M16">
        <v>18.829719999999998</v>
      </c>
      <c r="N16">
        <v>48</v>
      </c>
      <c r="O16">
        <v>8.7127683999999999</v>
      </c>
      <c r="P16" s="3">
        <f t="shared" si="0"/>
        <v>13933.421639199998</v>
      </c>
      <c r="Q16" s="3">
        <f t="shared" si="1"/>
        <v>45407.316018399993</v>
      </c>
      <c r="R16">
        <v>3303400</v>
      </c>
      <c r="S16" s="21">
        <f t="shared" si="2"/>
        <v>1.3745630568020826</v>
      </c>
    </row>
    <row r="17" spans="1:21" x14ac:dyDescent="0.2">
      <c r="A17">
        <v>50000</v>
      </c>
      <c r="B17">
        <v>0</v>
      </c>
      <c r="C17">
        <v>892.75031999999999</v>
      </c>
      <c r="D17">
        <v>0</v>
      </c>
      <c r="E17">
        <v>699.03652</v>
      </c>
      <c r="F17">
        <v>5</v>
      </c>
      <c r="G17">
        <v>283.44973999999996</v>
      </c>
      <c r="H17">
        <v>19</v>
      </c>
      <c r="I17">
        <v>105.224896</v>
      </c>
      <c r="J17">
        <v>57</v>
      </c>
      <c r="K17">
        <v>41.832923999999998</v>
      </c>
      <c r="L17">
        <v>66</v>
      </c>
      <c r="M17">
        <v>18.829719999999998</v>
      </c>
      <c r="N17">
        <v>43</v>
      </c>
      <c r="O17">
        <v>8.7127683999999999</v>
      </c>
      <c r="P17" s="3">
        <f t="shared" si="0"/>
        <v>7418.4089531999998</v>
      </c>
      <c r="Q17" s="3">
        <f t="shared" si="1"/>
        <v>31473.894379199995</v>
      </c>
      <c r="R17">
        <v>3303400</v>
      </c>
      <c r="S17" s="21">
        <f t="shared" si="2"/>
        <v>0.95277273049585265</v>
      </c>
    </row>
    <row r="18" spans="1:21" x14ac:dyDescent="0.2">
      <c r="A18">
        <v>60000</v>
      </c>
      <c r="B18">
        <v>0</v>
      </c>
      <c r="C18">
        <v>892.75031999999999</v>
      </c>
      <c r="D18">
        <v>0</v>
      </c>
      <c r="E18">
        <v>699.03652</v>
      </c>
      <c r="F18">
        <v>8</v>
      </c>
      <c r="G18">
        <v>283.44973999999996</v>
      </c>
      <c r="H18">
        <v>12</v>
      </c>
      <c r="I18">
        <v>105.224896</v>
      </c>
      <c r="J18">
        <v>34</v>
      </c>
      <c r="K18">
        <v>41.832923999999998</v>
      </c>
      <c r="L18">
        <v>42</v>
      </c>
      <c r="M18">
        <v>18.829719999999998</v>
      </c>
      <c r="N18">
        <v>35</v>
      </c>
      <c r="O18">
        <v>8.7127683999999999</v>
      </c>
      <c r="P18" s="3">
        <f t="shared" si="0"/>
        <v>6048.4112219999997</v>
      </c>
      <c r="Q18" s="3">
        <f t="shared" si="1"/>
        <v>24055.485425999996</v>
      </c>
      <c r="R18">
        <v>3303400</v>
      </c>
      <c r="S18" s="24">
        <f t="shared" si="2"/>
        <v>0.7282038332021552</v>
      </c>
    </row>
    <row r="19" spans="1:21" x14ac:dyDescent="0.2">
      <c r="A19">
        <v>70000</v>
      </c>
      <c r="B19">
        <v>1</v>
      </c>
      <c r="C19">
        <v>892.75031999999999</v>
      </c>
      <c r="D19">
        <v>2</v>
      </c>
      <c r="E19">
        <v>699.03652</v>
      </c>
      <c r="F19">
        <v>6</v>
      </c>
      <c r="G19">
        <v>283.44973999999996</v>
      </c>
      <c r="H19">
        <v>19</v>
      </c>
      <c r="I19">
        <v>105.224896</v>
      </c>
      <c r="J19">
        <v>52</v>
      </c>
      <c r="K19">
        <v>41.832923999999998</v>
      </c>
      <c r="L19">
        <v>71</v>
      </c>
      <c r="M19">
        <v>18.829719999999998</v>
      </c>
      <c r="N19">
        <v>39</v>
      </c>
      <c r="O19">
        <v>8.7127683999999999</v>
      </c>
      <c r="P19" s="3">
        <f t="shared" si="0"/>
        <v>9842.8149595999985</v>
      </c>
      <c r="Q19" s="3">
        <f t="shared" si="1"/>
        <v>18007.074203999997</v>
      </c>
      <c r="R19">
        <v>3303400</v>
      </c>
      <c r="S19" s="24">
        <f t="shared" si="2"/>
        <v>0.5451072895804322</v>
      </c>
    </row>
    <row r="20" spans="1:21" x14ac:dyDescent="0.2">
      <c r="A20" t="s">
        <v>4</v>
      </c>
      <c r="B20">
        <v>1</v>
      </c>
      <c r="C20">
        <v>892.75031999999999</v>
      </c>
      <c r="D20">
        <v>2</v>
      </c>
      <c r="E20">
        <v>699.03652</v>
      </c>
      <c r="F20">
        <v>2</v>
      </c>
      <c r="G20">
        <v>283.44973999999996</v>
      </c>
      <c r="H20">
        <v>21</v>
      </c>
      <c r="I20">
        <v>105.224896</v>
      </c>
      <c r="J20">
        <v>40</v>
      </c>
      <c r="K20">
        <v>41.832923999999998</v>
      </c>
      <c r="L20">
        <v>52</v>
      </c>
      <c r="M20">
        <v>18.829719999999998</v>
      </c>
      <c r="N20">
        <v>51</v>
      </c>
      <c r="O20">
        <v>8.7127683999999999</v>
      </c>
      <c r="P20" s="3">
        <f t="shared" si="0"/>
        <v>8164.2592444000002</v>
      </c>
      <c r="Q20" s="3">
        <f>P20</f>
        <v>8164.2592444000002</v>
      </c>
      <c r="R20">
        <v>3303400</v>
      </c>
      <c r="S20" s="24">
        <f t="shared" si="2"/>
        <v>0.24714715881818733</v>
      </c>
    </row>
    <row r="21" spans="1:21" x14ac:dyDescent="0.2">
      <c r="A21" t="s">
        <v>3</v>
      </c>
      <c r="B21">
        <f t="shared" ref="B21:N21" si="3">SUM(B6:B20)</f>
        <v>140</v>
      </c>
      <c r="C21">
        <v>892.75031999999999</v>
      </c>
      <c r="D21">
        <f t="shared" si="3"/>
        <v>219</v>
      </c>
      <c r="E21">
        <v>699.03652</v>
      </c>
      <c r="F21">
        <f t="shared" si="3"/>
        <v>586</v>
      </c>
      <c r="G21">
        <v>283.44973999999996</v>
      </c>
      <c r="H21">
        <f t="shared" si="3"/>
        <v>1513</v>
      </c>
      <c r="I21">
        <v>105.224896</v>
      </c>
      <c r="J21">
        <f t="shared" si="3"/>
        <v>2716</v>
      </c>
      <c r="K21">
        <v>41.832923999999998</v>
      </c>
      <c r="L21">
        <f t="shared" si="3"/>
        <v>3126</v>
      </c>
      <c r="M21">
        <v>18.829719999999998</v>
      </c>
      <c r="N21">
        <f t="shared" si="3"/>
        <v>1928</v>
      </c>
      <c r="O21">
        <v>8.7127683999999999</v>
      </c>
      <c r="P21" s="3">
        <f t="shared" si="0"/>
        <v>792659.00174720003</v>
      </c>
    </row>
    <row r="26" spans="1:21" x14ac:dyDescent="0.2">
      <c r="A26" s="19"/>
    </row>
    <row r="27" spans="1:21" x14ac:dyDescent="0.2">
      <c r="A27" s="19"/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s="5" t="s">
        <v>4</v>
      </c>
      <c r="B32" s="14">
        <v>5.0000000000000001E-4</v>
      </c>
      <c r="C32" s="4" t="s">
        <v>69</v>
      </c>
      <c r="K32" s="4">
        <v>2.2177018779657423</v>
      </c>
      <c r="L32" s="4">
        <v>6674.8076699198309</v>
      </c>
      <c r="M32" s="20">
        <f t="shared" ref="M32:M37" si="4">POWER(B32,1/K32)</f>
        <v>3.2471973210598172E-2</v>
      </c>
      <c r="N32" s="8">
        <f t="shared" ref="N32:N37" si="5">L32/M32</f>
        <v>205555.96134026477</v>
      </c>
      <c r="O32" s="5">
        <f t="shared" ref="O32:O37" si="6">R12</f>
        <v>3303400</v>
      </c>
      <c r="P32" s="8">
        <f>O32*(K32/(1-K32))*POWER(L32,K32)*(-1)*POWER(N32,1-K32)</f>
        <v>618334435.72340512</v>
      </c>
      <c r="Q32" s="9">
        <f t="shared" ref="Q32:Q37" si="7">B32*O32</f>
        <v>1651.7</v>
      </c>
      <c r="R32" s="8">
        <f t="shared" ref="R32:R37" si="8">P32/Q32</f>
        <v>374362.43611031369</v>
      </c>
      <c r="S32" s="4">
        <f t="shared" ref="S32:S37" si="9">P32*20.5805*1.23</f>
        <v>15652527180.918814</v>
      </c>
      <c r="T32" s="2"/>
      <c r="U32" s="10"/>
    </row>
    <row r="33" spans="1:21" ht="15" x14ac:dyDescent="0.25">
      <c r="A33" t="s">
        <v>4</v>
      </c>
      <c r="B33" s="14">
        <v>1E-3</v>
      </c>
      <c r="C33" s="4" t="s">
        <v>69</v>
      </c>
      <c r="K33" s="4">
        <v>2.2177018779657423</v>
      </c>
      <c r="L33" s="4">
        <v>6674.8076699198309</v>
      </c>
      <c r="M33" s="20">
        <f t="shared" si="4"/>
        <v>4.4386233497429976E-2</v>
      </c>
      <c r="N33" s="8">
        <f t="shared" si="5"/>
        <v>150380.13239637265</v>
      </c>
      <c r="O33" s="5">
        <f t="shared" si="6"/>
        <v>3303400</v>
      </c>
      <c r="P33" s="8">
        <f>O33*(K33/(1-K33))*POWER(L33,K33)*(POWER(N32,1-K33)-POWER(N33,1-K33))+P32</f>
        <v>904719218.09555244</v>
      </c>
      <c r="Q33" s="9">
        <f t="shared" si="7"/>
        <v>3303.4</v>
      </c>
      <c r="R33" s="8">
        <f t="shared" si="8"/>
        <v>273875.16440502281</v>
      </c>
      <c r="S33" s="4">
        <f t="shared" si="9"/>
        <v>22902075857.659088</v>
      </c>
      <c r="T33" s="2"/>
      <c r="U33" s="10"/>
    </row>
    <row r="34" spans="1:21" ht="15" x14ac:dyDescent="0.25">
      <c r="A34" t="s">
        <v>59</v>
      </c>
      <c r="B34" s="14">
        <v>2.5000000000000001E-3</v>
      </c>
      <c r="C34">
        <f>S20/100</f>
        <v>2.4714715881818733E-3</v>
      </c>
      <c r="D34">
        <f>S19/100</f>
        <v>5.4510728958043217E-3</v>
      </c>
      <c r="E34">
        <v>100000</v>
      </c>
      <c r="F34">
        <v>70000</v>
      </c>
      <c r="G34">
        <f>D34/C34</f>
        <v>2.2055980420209398</v>
      </c>
      <c r="H34">
        <f>LN(G34)</f>
        <v>0.79099869299625236</v>
      </c>
      <c r="I34">
        <f>E34/F34</f>
        <v>1.4285714285714286</v>
      </c>
      <c r="J34">
        <f>LN(I34)</f>
        <v>0.35667494393873239</v>
      </c>
      <c r="K34" s="4">
        <f>H34/J34</f>
        <v>2.2177018779657414</v>
      </c>
      <c r="L34" s="4">
        <f>F34*POWER(D34,1/K34)</f>
        <v>6674.8076699198309</v>
      </c>
      <c r="M34" s="20">
        <f t="shared" si="4"/>
        <v>6.7094404412724587E-2</v>
      </c>
      <c r="N34" s="8">
        <f t="shared" si="5"/>
        <v>99483.82027300536</v>
      </c>
      <c r="O34" s="5">
        <f t="shared" si="6"/>
        <v>3303400</v>
      </c>
      <c r="P34" s="8">
        <f>O34*(K34/(1-K34))*POWER(L34,K34)*(POWER(N33,1-K34)-POWER(N34,1-K34))+P33</f>
        <v>1496290145.7839577</v>
      </c>
      <c r="Q34" s="9">
        <f t="shared" si="7"/>
        <v>8258.5</v>
      </c>
      <c r="R34" s="8">
        <f t="shared" si="8"/>
        <v>181181.83033044229</v>
      </c>
      <c r="S34" s="4">
        <f t="shared" si="9"/>
        <v>37877111194.727295</v>
      </c>
      <c r="T34" s="2"/>
      <c r="U34" s="10"/>
    </row>
    <row r="35" spans="1:21" ht="15" x14ac:dyDescent="0.25">
      <c r="A35" t="s">
        <v>59</v>
      </c>
      <c r="B35" s="14">
        <v>5.0000000000000001E-3</v>
      </c>
      <c r="C35">
        <f>S20/100</f>
        <v>2.4714715881818733E-3</v>
      </c>
      <c r="D35">
        <f>S19/100</f>
        <v>5.4510728958043217E-3</v>
      </c>
      <c r="E35">
        <v>100000</v>
      </c>
      <c r="F35">
        <v>70000</v>
      </c>
      <c r="G35">
        <f>D35/C35</f>
        <v>2.2055980420209398</v>
      </c>
      <c r="H35">
        <f>LN(G35)</f>
        <v>0.79099869299625236</v>
      </c>
      <c r="I35">
        <f>E35/F35</f>
        <v>1.4285714285714286</v>
      </c>
      <c r="J35">
        <f>LN(I35)</f>
        <v>0.35667494393873239</v>
      </c>
      <c r="K35" s="4">
        <f>H35/J35</f>
        <v>2.2177018779657414</v>
      </c>
      <c r="L35" s="4">
        <f>F35*POWER(D35,1/K35)</f>
        <v>6674.8076699198309</v>
      </c>
      <c r="M35" s="20">
        <f t="shared" si="4"/>
        <v>9.1711947448337092E-2</v>
      </c>
      <c r="N35" s="8">
        <f t="shared" si="5"/>
        <v>72780.132312421614</v>
      </c>
      <c r="O35" s="5">
        <f t="shared" si="6"/>
        <v>3303400</v>
      </c>
      <c r="P35" s="8">
        <f>O35*(K35/(1-K35))*POWER(L35,K35)*(POWER(N34,1-K35)-POWER(N35,1-K35))+P34</f>
        <v>2189304642.4852409</v>
      </c>
      <c r="Q35" s="9">
        <f t="shared" si="7"/>
        <v>16517</v>
      </c>
      <c r="R35" s="8">
        <f t="shared" si="8"/>
        <v>132548.56465975908</v>
      </c>
      <c r="S35" s="4">
        <f t="shared" si="9"/>
        <v>55420090559.441025</v>
      </c>
      <c r="T35" s="2"/>
      <c r="U35" s="10"/>
    </row>
    <row r="36" spans="1:21" ht="15" x14ac:dyDescent="0.25">
      <c r="A36" t="s">
        <v>65</v>
      </c>
      <c r="B36" s="14">
        <v>0.01</v>
      </c>
      <c r="C36">
        <f>S17/100</f>
        <v>9.5277273049585269E-3</v>
      </c>
      <c r="D36">
        <f>S16/100</f>
        <v>1.3745630568020827E-2</v>
      </c>
      <c r="E36">
        <v>50000</v>
      </c>
      <c r="F36">
        <v>40000</v>
      </c>
      <c r="G36">
        <f>D36/C36</f>
        <v>1.4426977313747393</v>
      </c>
      <c r="H36">
        <f>LN(G36)</f>
        <v>0.36651478548255534</v>
      </c>
      <c r="I36">
        <f>E36/F36</f>
        <v>1.25</v>
      </c>
      <c r="J36">
        <f>LN(I36)</f>
        <v>0.22314355131420976</v>
      </c>
      <c r="K36" s="4">
        <f>H36/J36</f>
        <v>1.6425067331050212</v>
      </c>
      <c r="L36" s="4">
        <f>F36*POWER(D36,1/K36)</f>
        <v>2941.2175239972353</v>
      </c>
      <c r="M36" s="20">
        <f t="shared" si="4"/>
        <v>6.0582749470613713E-2</v>
      </c>
      <c r="N36" s="8">
        <f t="shared" si="5"/>
        <v>48548.76263785128</v>
      </c>
      <c r="O36" s="5">
        <f t="shared" si="6"/>
        <v>3303400</v>
      </c>
      <c r="P36" s="8">
        <f>O36*(K36/(1-K36))*POWER(L36,K36)*(POWER(N35,1-K36)-POWER(N36,1-K36))+P35</f>
        <v>3128385651.9429502</v>
      </c>
      <c r="Q36" s="9">
        <f t="shared" si="7"/>
        <v>33034</v>
      </c>
      <c r="R36" s="8">
        <f t="shared" si="8"/>
        <v>94701.99345955532</v>
      </c>
      <c r="S36" s="4">
        <f t="shared" si="9"/>
        <v>79192001319.068619</v>
      </c>
      <c r="T36" s="2"/>
      <c r="U36" s="10"/>
    </row>
    <row r="37" spans="1:21" ht="15" x14ac:dyDescent="0.25">
      <c r="A37" t="s">
        <v>46</v>
      </c>
      <c r="B37" s="14">
        <v>0.02</v>
      </c>
      <c r="C37">
        <f>S16/100</f>
        <v>1.3745630568020827E-2</v>
      </c>
      <c r="D37">
        <f>S15/100</f>
        <v>2.4196865560695044E-2</v>
      </c>
      <c r="E37">
        <v>40000</v>
      </c>
      <c r="F37">
        <v>30000</v>
      </c>
      <c r="G37">
        <f>D37/C37</f>
        <v>1.7603314333930222</v>
      </c>
      <c r="H37">
        <f>LN(G37)</f>
        <v>0.56550210574897775</v>
      </c>
      <c r="I37">
        <f>E37/F37</f>
        <v>1.3333333333333333</v>
      </c>
      <c r="J37">
        <f>LN(I37)</f>
        <v>0.28768207245178085</v>
      </c>
      <c r="K37" s="4">
        <f>H37/J37</f>
        <v>1.9657189651390705</v>
      </c>
      <c r="L37" s="4">
        <f>F37*POWER(D37,1/K37)</f>
        <v>4517.598637548278</v>
      </c>
      <c r="M37" s="20">
        <f t="shared" si="4"/>
        <v>0.13667857947209153</v>
      </c>
      <c r="N37" s="8">
        <f t="shared" si="5"/>
        <v>33052.718684940155</v>
      </c>
      <c r="O37" s="5">
        <f t="shared" si="6"/>
        <v>3303400</v>
      </c>
      <c r="P37" s="8">
        <f>O37*(K37/(1-K37))*POWER(L37,K37)*(POWER(N36,1-K37)-POWER(N37,1-K37))+P36</f>
        <v>4507005736.8166151</v>
      </c>
      <c r="Q37" s="9">
        <f t="shared" si="7"/>
        <v>66068</v>
      </c>
      <c r="R37" s="8">
        <f t="shared" si="8"/>
        <v>68217.680826067313</v>
      </c>
      <c r="S37" s="4">
        <f t="shared" si="9"/>
        <v>114090410826.86185</v>
      </c>
      <c r="T37" s="2"/>
      <c r="U37" s="10"/>
    </row>
    <row r="45" spans="1:21" ht="15.75" x14ac:dyDescent="0.25">
      <c r="A45" s="1" t="s">
        <v>51</v>
      </c>
    </row>
    <row r="47" spans="1:21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1000</v>
      </c>
      <c r="B50">
        <v>0</v>
      </c>
      <c r="C50">
        <v>2130.2707999999998</v>
      </c>
      <c r="D50">
        <v>2</v>
      </c>
      <c r="E50">
        <v>1145.0419400000001</v>
      </c>
      <c r="F50">
        <v>1</v>
      </c>
      <c r="G50">
        <v>470.84225999999995</v>
      </c>
      <c r="H50">
        <v>0</v>
      </c>
      <c r="I50">
        <v>201.36326</v>
      </c>
      <c r="J50">
        <v>0</v>
      </c>
      <c r="K50">
        <v>81.028499999999994</v>
      </c>
      <c r="L50">
        <v>1</v>
      </c>
      <c r="M50">
        <v>29.253167999999995</v>
      </c>
      <c r="N50">
        <v>0</v>
      </c>
      <c r="O50">
        <v>10.434684399999998</v>
      </c>
      <c r="P50" s="3">
        <f>(B50*C50)+(D50*E50)+(F50*G50)+(H50*I50)+(J50*K50)+(L50*M50)+(N50*O50)</f>
        <v>2790.1793080000002</v>
      </c>
      <c r="Q50" s="3"/>
    </row>
    <row r="51" spans="1:19" x14ac:dyDescent="0.2">
      <c r="A51">
        <v>2000</v>
      </c>
      <c r="B51">
        <v>2</v>
      </c>
      <c r="C51">
        <v>2130.2707999999998</v>
      </c>
      <c r="D51">
        <v>2</v>
      </c>
      <c r="E51">
        <v>1145.0419400000001</v>
      </c>
      <c r="F51">
        <v>9</v>
      </c>
      <c r="G51">
        <v>470.84225999999995</v>
      </c>
      <c r="H51">
        <v>8</v>
      </c>
      <c r="I51">
        <v>201.36326</v>
      </c>
      <c r="J51">
        <v>39</v>
      </c>
      <c r="K51">
        <v>81.028499999999994</v>
      </c>
      <c r="L51">
        <v>46</v>
      </c>
      <c r="M51">
        <v>29.253167999999995</v>
      </c>
      <c r="N51">
        <v>47</v>
      </c>
      <c r="O51">
        <v>10.434684399999998</v>
      </c>
      <c r="P51" s="3">
        <f t="shared" ref="P51:P65" si="10">(B51*C51)+(D51*E51)+(F51*G51)+(H51*I51)+(J51*K51)+(L51*M51)+(N51*O51)</f>
        <v>17395.299294799999</v>
      </c>
      <c r="Q51" s="3"/>
    </row>
    <row r="52" spans="1:19" x14ac:dyDescent="0.2">
      <c r="A52">
        <v>3000</v>
      </c>
      <c r="B52">
        <v>1</v>
      </c>
      <c r="C52">
        <v>2130.2707999999998</v>
      </c>
      <c r="D52">
        <v>1</v>
      </c>
      <c r="E52">
        <v>1145.0419400000001</v>
      </c>
      <c r="F52">
        <v>8</v>
      </c>
      <c r="G52">
        <v>470.84225999999995</v>
      </c>
      <c r="H52">
        <v>45</v>
      </c>
      <c r="I52">
        <v>201.36326</v>
      </c>
      <c r="J52">
        <v>125</v>
      </c>
      <c r="K52">
        <v>81.028499999999994</v>
      </c>
      <c r="L52">
        <v>211</v>
      </c>
      <c r="M52">
        <v>29.253167999999995</v>
      </c>
      <c r="N52">
        <v>181</v>
      </c>
      <c r="O52">
        <v>10.434684399999998</v>
      </c>
      <c r="P52" s="3">
        <f t="shared" si="10"/>
        <v>34293.056344399993</v>
      </c>
      <c r="Q52" s="3"/>
    </row>
    <row r="53" spans="1:19" x14ac:dyDescent="0.2">
      <c r="A53">
        <v>4000</v>
      </c>
      <c r="B53">
        <v>0</v>
      </c>
      <c r="C53">
        <v>2130.2707999999998</v>
      </c>
      <c r="D53">
        <v>3</v>
      </c>
      <c r="E53">
        <v>1145.0419400000001</v>
      </c>
      <c r="F53">
        <v>10</v>
      </c>
      <c r="G53">
        <v>470.84225999999995</v>
      </c>
      <c r="H53">
        <v>32</v>
      </c>
      <c r="I53">
        <v>201.36326</v>
      </c>
      <c r="J53">
        <v>79</v>
      </c>
      <c r="K53">
        <v>81.028499999999994</v>
      </c>
      <c r="L53">
        <v>133</v>
      </c>
      <c r="M53">
        <v>29.253167999999995</v>
      </c>
      <c r="N53">
        <v>157</v>
      </c>
      <c r="O53">
        <v>10.434684399999998</v>
      </c>
      <c r="P53" s="3">
        <f t="shared" si="10"/>
        <v>26517.3410348</v>
      </c>
      <c r="Q53" s="3"/>
    </row>
    <row r="54" spans="1:19" x14ac:dyDescent="0.2">
      <c r="A54">
        <v>5000</v>
      </c>
      <c r="B54">
        <v>2</v>
      </c>
      <c r="C54">
        <v>2130.2707999999998</v>
      </c>
      <c r="D54">
        <v>21</v>
      </c>
      <c r="E54">
        <v>1145.0419400000001</v>
      </c>
      <c r="F54">
        <v>82</v>
      </c>
      <c r="G54">
        <v>470.84225999999995</v>
      </c>
      <c r="H54">
        <v>213</v>
      </c>
      <c r="I54">
        <v>201.36326</v>
      </c>
      <c r="J54">
        <v>499</v>
      </c>
      <c r="K54">
        <v>81.028499999999994</v>
      </c>
      <c r="L54">
        <v>858</v>
      </c>
      <c r="M54">
        <v>29.253167999999995</v>
      </c>
      <c r="N54">
        <v>818</v>
      </c>
      <c r="O54">
        <v>10.434684399999998</v>
      </c>
      <c r="P54" s="3">
        <f t="shared" si="10"/>
        <v>183873.87352319999</v>
      </c>
      <c r="Q54" s="3">
        <f t="shared" ref="Q54:Q62" si="11">Q55+P54</f>
        <v>316447.59240079997</v>
      </c>
      <c r="R54">
        <v>3302500</v>
      </c>
      <c r="S54">
        <f>Q54/R54*100</f>
        <v>9.5820618440817551</v>
      </c>
    </row>
    <row r="55" spans="1:19" x14ac:dyDescent="0.2">
      <c r="A55">
        <v>10000</v>
      </c>
      <c r="B55">
        <v>0</v>
      </c>
      <c r="C55">
        <v>2130.2707999999998</v>
      </c>
      <c r="D55">
        <v>3</v>
      </c>
      <c r="E55">
        <v>1145.0419400000001</v>
      </c>
      <c r="F55">
        <v>14</v>
      </c>
      <c r="G55">
        <v>470.84225999999995</v>
      </c>
      <c r="H55">
        <v>76</v>
      </c>
      <c r="I55">
        <v>201.36326</v>
      </c>
      <c r="J55">
        <v>161</v>
      </c>
      <c r="K55">
        <v>81.028499999999994</v>
      </c>
      <c r="L55">
        <v>338</v>
      </c>
      <c r="M55">
        <v>29.253167999999995</v>
      </c>
      <c r="N55">
        <v>350</v>
      </c>
      <c r="O55">
        <v>10.434684399999998</v>
      </c>
      <c r="P55" s="3">
        <f t="shared" si="10"/>
        <v>51915.824043999994</v>
      </c>
      <c r="Q55" s="3">
        <f t="shared" si="11"/>
        <v>132573.71887759998</v>
      </c>
      <c r="R55">
        <v>3302500</v>
      </c>
      <c r="S55">
        <f>Q55/R55*100</f>
        <v>4.0143442506464799</v>
      </c>
    </row>
    <row r="56" spans="1:19" x14ac:dyDescent="0.2">
      <c r="A56">
        <v>15000</v>
      </c>
      <c r="B56">
        <v>0</v>
      </c>
      <c r="C56">
        <v>2130.2707999999998</v>
      </c>
      <c r="D56">
        <v>2</v>
      </c>
      <c r="E56">
        <v>1145.0419400000001</v>
      </c>
      <c r="F56">
        <v>10</v>
      </c>
      <c r="G56">
        <v>470.84225999999995</v>
      </c>
      <c r="H56">
        <v>41</v>
      </c>
      <c r="I56">
        <v>201.36326</v>
      </c>
      <c r="J56">
        <v>96</v>
      </c>
      <c r="K56">
        <v>81.028499999999994</v>
      </c>
      <c r="L56">
        <v>171</v>
      </c>
      <c r="M56">
        <v>29.253167999999995</v>
      </c>
      <c r="N56">
        <v>139</v>
      </c>
      <c r="O56">
        <v>10.434684399999998</v>
      </c>
      <c r="P56" s="3">
        <f t="shared" si="10"/>
        <v>29485.848999599999</v>
      </c>
      <c r="Q56" s="3">
        <f t="shared" si="11"/>
        <v>80657.894833600003</v>
      </c>
      <c r="R56">
        <v>3302500</v>
      </c>
      <c r="S56">
        <f>Q56/R56*100</f>
        <v>2.4423283825465556</v>
      </c>
    </row>
    <row r="57" spans="1:19" x14ac:dyDescent="0.2">
      <c r="A57">
        <v>20000</v>
      </c>
      <c r="B57">
        <v>0</v>
      </c>
      <c r="C57">
        <v>2130.2707999999998</v>
      </c>
      <c r="D57">
        <v>1</v>
      </c>
      <c r="E57">
        <v>1145.0419400000001</v>
      </c>
      <c r="F57">
        <v>4</v>
      </c>
      <c r="G57">
        <v>470.84225999999995</v>
      </c>
      <c r="H57">
        <v>16</v>
      </c>
      <c r="I57">
        <v>201.36326</v>
      </c>
      <c r="J57">
        <v>58</v>
      </c>
      <c r="K57">
        <v>81.028499999999994</v>
      </c>
      <c r="L57">
        <v>78</v>
      </c>
      <c r="M57">
        <v>29.253167999999995</v>
      </c>
      <c r="N57">
        <v>95</v>
      </c>
      <c r="O57">
        <v>10.434684399999998</v>
      </c>
      <c r="P57" s="3">
        <f t="shared" si="10"/>
        <v>14222.918261999999</v>
      </c>
      <c r="Q57" s="3">
        <f t="shared" si="11"/>
        <v>51172.045833999997</v>
      </c>
      <c r="R57">
        <v>3302500</v>
      </c>
      <c r="S57">
        <f t="shared" ref="S57:S63" si="12">Q57/R57*100</f>
        <v>1.5494941963361089</v>
      </c>
    </row>
    <row r="58" spans="1:19" x14ac:dyDescent="0.2">
      <c r="A58">
        <v>25000</v>
      </c>
      <c r="B58">
        <v>0</v>
      </c>
      <c r="C58">
        <v>2130.2707999999998</v>
      </c>
      <c r="D58">
        <v>0</v>
      </c>
      <c r="E58">
        <v>1145.0419400000001</v>
      </c>
      <c r="F58">
        <v>2</v>
      </c>
      <c r="G58">
        <v>470.84225999999995</v>
      </c>
      <c r="H58">
        <v>13</v>
      </c>
      <c r="I58">
        <v>201.36326</v>
      </c>
      <c r="J58">
        <v>29</v>
      </c>
      <c r="K58">
        <v>81.028499999999994</v>
      </c>
      <c r="L58">
        <v>56</v>
      </c>
      <c r="M58">
        <v>29.253167999999995</v>
      </c>
      <c r="N58">
        <v>69</v>
      </c>
      <c r="O58">
        <v>10.434684399999998</v>
      </c>
      <c r="P58" s="3">
        <f t="shared" si="10"/>
        <v>8267.4040315999991</v>
      </c>
      <c r="Q58" s="3">
        <f t="shared" si="11"/>
        <v>36949.127571999998</v>
      </c>
      <c r="R58">
        <v>3302500</v>
      </c>
      <c r="S58">
        <f t="shared" si="12"/>
        <v>1.1188229393489779</v>
      </c>
    </row>
    <row r="59" spans="1:19" x14ac:dyDescent="0.2">
      <c r="A59">
        <v>30000</v>
      </c>
      <c r="B59">
        <v>1</v>
      </c>
      <c r="C59">
        <v>2130.2707999999998</v>
      </c>
      <c r="D59">
        <v>0</v>
      </c>
      <c r="E59">
        <v>1145.0419400000001</v>
      </c>
      <c r="F59">
        <v>4</v>
      </c>
      <c r="G59">
        <v>470.84225999999995</v>
      </c>
      <c r="H59">
        <v>13</v>
      </c>
      <c r="I59">
        <v>201.36326</v>
      </c>
      <c r="J59">
        <v>24</v>
      </c>
      <c r="K59">
        <v>81.028499999999994</v>
      </c>
      <c r="L59">
        <v>54</v>
      </c>
      <c r="M59">
        <v>29.253167999999995</v>
      </c>
      <c r="N59">
        <v>91</v>
      </c>
      <c r="O59">
        <v>10.434684399999998</v>
      </c>
      <c r="P59" s="3">
        <f t="shared" si="10"/>
        <v>11105.273572399999</v>
      </c>
      <c r="Q59" s="3">
        <f t="shared" si="11"/>
        <v>28681.723540400002</v>
      </c>
      <c r="R59">
        <v>3302500</v>
      </c>
      <c r="S59">
        <f t="shared" si="12"/>
        <v>0.86848519425889481</v>
      </c>
    </row>
    <row r="60" spans="1:19" x14ac:dyDescent="0.2">
      <c r="A60">
        <v>40000</v>
      </c>
      <c r="B60">
        <v>0</v>
      </c>
      <c r="C60">
        <v>2130.2707999999998</v>
      </c>
      <c r="D60">
        <v>0</v>
      </c>
      <c r="E60">
        <v>1145.0419400000001</v>
      </c>
      <c r="F60">
        <v>2</v>
      </c>
      <c r="G60">
        <v>470.84225999999995</v>
      </c>
      <c r="H60">
        <v>5</v>
      </c>
      <c r="I60">
        <v>201.36326</v>
      </c>
      <c r="J60">
        <v>17</v>
      </c>
      <c r="K60">
        <v>81.028499999999994</v>
      </c>
      <c r="L60">
        <v>29</v>
      </c>
      <c r="M60">
        <v>29.253167999999995</v>
      </c>
      <c r="N60">
        <v>47</v>
      </c>
      <c r="O60">
        <v>10.434684399999998</v>
      </c>
      <c r="P60" s="3">
        <f t="shared" si="10"/>
        <v>4664.7573587999996</v>
      </c>
      <c r="Q60" s="3">
        <f t="shared" si="11"/>
        <v>17576.449968000001</v>
      </c>
      <c r="R60">
        <v>3302500</v>
      </c>
      <c r="S60">
        <f t="shared" si="12"/>
        <v>0.53221650168054502</v>
      </c>
    </row>
    <row r="61" spans="1:19" x14ac:dyDescent="0.2">
      <c r="A61">
        <v>50000</v>
      </c>
      <c r="B61">
        <v>0</v>
      </c>
      <c r="C61">
        <v>2130.2707999999998</v>
      </c>
      <c r="D61">
        <v>1</v>
      </c>
      <c r="E61">
        <v>1145.0419400000001</v>
      </c>
      <c r="F61">
        <v>2</v>
      </c>
      <c r="G61">
        <v>470.84225999999995</v>
      </c>
      <c r="H61">
        <v>6</v>
      </c>
      <c r="I61">
        <v>201.36326</v>
      </c>
      <c r="J61">
        <v>6</v>
      </c>
      <c r="K61">
        <v>81.028499999999994</v>
      </c>
      <c r="L61">
        <v>18</v>
      </c>
      <c r="M61">
        <v>29.253167999999995</v>
      </c>
      <c r="N61">
        <v>22</v>
      </c>
      <c r="O61">
        <v>10.434684399999998</v>
      </c>
      <c r="P61" s="3">
        <f t="shared" si="10"/>
        <v>4537.1971007999991</v>
      </c>
      <c r="Q61" s="3">
        <f t="shared" si="11"/>
        <v>12911.692609199999</v>
      </c>
      <c r="R61">
        <v>3302500</v>
      </c>
      <c r="S61">
        <f t="shared" si="12"/>
        <v>0.39096722510825127</v>
      </c>
    </row>
    <row r="62" spans="1:19" x14ac:dyDescent="0.2">
      <c r="A62">
        <v>60000</v>
      </c>
      <c r="B62">
        <v>0</v>
      </c>
      <c r="C62">
        <v>2130.2707999999998</v>
      </c>
      <c r="D62">
        <v>0</v>
      </c>
      <c r="E62">
        <v>1145.0419400000001</v>
      </c>
      <c r="F62">
        <v>1</v>
      </c>
      <c r="G62">
        <v>470.84225999999995</v>
      </c>
      <c r="H62">
        <v>1</v>
      </c>
      <c r="I62">
        <v>201.36326</v>
      </c>
      <c r="J62">
        <v>6</v>
      </c>
      <c r="K62">
        <v>81.028499999999994</v>
      </c>
      <c r="L62">
        <v>14</v>
      </c>
      <c r="M62">
        <v>29.253167999999995</v>
      </c>
      <c r="N62">
        <v>15</v>
      </c>
      <c r="O62">
        <v>10.434684399999998</v>
      </c>
      <c r="P62" s="3">
        <f t="shared" si="10"/>
        <v>1724.4411379999997</v>
      </c>
      <c r="Q62" s="3">
        <f t="shared" si="11"/>
        <v>8374.4955083999994</v>
      </c>
      <c r="R62">
        <v>3302500</v>
      </c>
      <c r="S62">
        <f t="shared" si="12"/>
        <v>0.25358048473580619</v>
      </c>
    </row>
    <row r="63" spans="1:19" x14ac:dyDescent="0.2">
      <c r="A63">
        <v>70000</v>
      </c>
      <c r="B63">
        <v>0</v>
      </c>
      <c r="C63">
        <v>2130.2707999999998</v>
      </c>
      <c r="D63">
        <v>0</v>
      </c>
      <c r="E63">
        <v>1145.0419400000001</v>
      </c>
      <c r="F63">
        <v>3</v>
      </c>
      <c r="G63">
        <v>470.84225999999995</v>
      </c>
      <c r="H63">
        <v>0</v>
      </c>
      <c r="I63">
        <v>201.36326</v>
      </c>
      <c r="J63">
        <v>10</v>
      </c>
      <c r="K63">
        <v>81.028499999999994</v>
      </c>
      <c r="L63">
        <v>19</v>
      </c>
      <c r="M63">
        <v>29.253167999999995</v>
      </c>
      <c r="N63">
        <v>27</v>
      </c>
      <c r="O63">
        <v>10.434684399999998</v>
      </c>
      <c r="P63" s="3">
        <f t="shared" si="10"/>
        <v>3060.3584507999999</v>
      </c>
      <c r="Q63" s="3">
        <f>P64+P63</f>
        <v>6650.0543704000002</v>
      </c>
      <c r="R63">
        <v>3302500</v>
      </c>
      <c r="S63">
        <f t="shared" si="12"/>
        <v>0.20136425042846332</v>
      </c>
    </row>
    <row r="64" spans="1:19" x14ac:dyDescent="0.2">
      <c r="A64" t="s">
        <v>4</v>
      </c>
      <c r="B64">
        <v>0</v>
      </c>
      <c r="C64">
        <v>2130.2707999999998</v>
      </c>
      <c r="D64">
        <v>1</v>
      </c>
      <c r="E64">
        <v>1145.0419400000001</v>
      </c>
      <c r="F64">
        <v>1</v>
      </c>
      <c r="G64">
        <v>470.84225999999995</v>
      </c>
      <c r="H64">
        <v>2</v>
      </c>
      <c r="I64">
        <v>201.36326</v>
      </c>
      <c r="J64">
        <v>9</v>
      </c>
      <c r="K64">
        <v>81.028499999999994</v>
      </c>
      <c r="L64">
        <v>22</v>
      </c>
      <c r="M64">
        <v>29.253167999999995</v>
      </c>
      <c r="N64">
        <v>19</v>
      </c>
      <c r="O64">
        <v>10.434684399999998</v>
      </c>
      <c r="P64" s="3">
        <f t="shared" si="10"/>
        <v>3589.6959196000003</v>
      </c>
      <c r="Q64" s="3">
        <f>P64</f>
        <v>3589.6959196000003</v>
      </c>
      <c r="R64">
        <v>3302500</v>
      </c>
      <c r="S64">
        <f>Q64/R64*100</f>
        <v>0.1086963185344436</v>
      </c>
    </row>
    <row r="65" spans="1:19" x14ac:dyDescent="0.2">
      <c r="A65" t="s">
        <v>3</v>
      </c>
      <c r="B65">
        <v>6</v>
      </c>
      <c r="C65">
        <v>2130.2707999999998</v>
      </c>
      <c r="D65">
        <v>37</v>
      </c>
      <c r="E65">
        <v>1145.0419400000001</v>
      </c>
      <c r="F65">
        <v>153</v>
      </c>
      <c r="G65">
        <v>470.84225999999995</v>
      </c>
      <c r="H65">
        <v>471</v>
      </c>
      <c r="I65">
        <v>201.36326</v>
      </c>
      <c r="J65">
        <v>1158</v>
      </c>
      <c r="K65">
        <v>81.028499999999994</v>
      </c>
      <c r="L65">
        <v>2048</v>
      </c>
      <c r="M65">
        <v>29.253167999999995</v>
      </c>
      <c r="N65">
        <v>2077</v>
      </c>
      <c r="O65">
        <v>10.434684399999998</v>
      </c>
      <c r="P65" s="3">
        <f t="shared" si="10"/>
        <v>397443.46838279994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4</v>
      </c>
      <c r="B73" s="14">
        <v>5.0000000000000001E-4</v>
      </c>
      <c r="C73" s="27" t="s">
        <v>89</v>
      </c>
      <c r="D73" s="5"/>
      <c r="E73" s="5"/>
      <c r="F73" s="5"/>
      <c r="G73" s="5"/>
      <c r="H73" s="5"/>
      <c r="I73" s="5"/>
      <c r="J73" s="5"/>
      <c r="K73" s="4">
        <v>1.4957170978279739</v>
      </c>
      <c r="L73" s="4">
        <v>1103.0783382073082</v>
      </c>
      <c r="M73" s="7">
        <f t="shared" ref="M73:M78" si="13">POWER(B73,1/K73)</f>
        <v>6.20885894015931E-3</v>
      </c>
      <c r="N73" s="8">
        <f t="shared" ref="N73:N78" si="14">L73/M73</f>
        <v>177662.00663257536</v>
      </c>
      <c r="O73">
        <f t="shared" ref="O73:O78" si="15">R54</f>
        <v>3302500</v>
      </c>
      <c r="P73" s="8">
        <f>O73*(K73/(1-K73))*POWER(L73,K73)*(-1)*POWER(N73,1-K73)</f>
        <v>885162391.2593689</v>
      </c>
      <c r="Q73" s="9">
        <f t="shared" ref="Q73:Q78" si="16">B73*O73</f>
        <v>1651.25</v>
      </c>
      <c r="R73" s="4">
        <f t="shared" ref="R73:R78" si="17">P73/Q73</f>
        <v>536055.95231453073</v>
      </c>
      <c r="S73" s="3">
        <f t="shared" ref="S73:S78" si="18">20.5805*P73*1.23</f>
        <v>22407014049.775532</v>
      </c>
    </row>
    <row r="74" spans="1:19" x14ac:dyDescent="0.2">
      <c r="A74" t="s">
        <v>59</v>
      </c>
      <c r="B74" s="14">
        <v>1E-3</v>
      </c>
      <c r="C74" s="27" t="s">
        <v>89</v>
      </c>
      <c r="D74" s="5"/>
      <c r="E74" s="5"/>
      <c r="F74" s="5"/>
      <c r="G74" s="5"/>
      <c r="H74" s="5"/>
      <c r="I74" s="5"/>
      <c r="J74" s="5"/>
      <c r="K74" s="4">
        <v>1.4957170978279739</v>
      </c>
      <c r="L74" s="4">
        <v>1103.0783382073082</v>
      </c>
      <c r="M74" s="7">
        <f t="shared" si="13"/>
        <v>9.8689991591285695E-3</v>
      </c>
      <c r="N74" s="8">
        <f t="shared" si="14"/>
        <v>111772.05716822756</v>
      </c>
      <c r="O74">
        <f t="shared" si="15"/>
        <v>3302500</v>
      </c>
      <c r="P74" s="8">
        <f>O74*(K74/(1-K74))*POWER(L74,K74)*(POWER(N73,1-K74)-POWER(N74,1-K74))+P73</f>
        <v>1113760035.4094687</v>
      </c>
      <c r="Q74" s="9">
        <f t="shared" si="16"/>
        <v>3302.5</v>
      </c>
      <c r="R74" s="4">
        <f t="shared" si="17"/>
        <v>337247.55046463851</v>
      </c>
      <c r="S74" s="3">
        <f t="shared" si="18"/>
        <v>28193738242.755821</v>
      </c>
    </row>
    <row r="75" spans="1:19" x14ac:dyDescent="0.2">
      <c r="A75" t="s">
        <v>66</v>
      </c>
      <c r="B75" s="14">
        <v>2.5000000000000001E-3</v>
      </c>
      <c r="C75" s="5">
        <f>S63/100</f>
        <v>2.0136425042846331E-3</v>
      </c>
      <c r="D75" s="5">
        <f>S62/100</f>
        <v>2.5358048473580618E-3</v>
      </c>
      <c r="E75" s="5">
        <v>70000</v>
      </c>
      <c r="F75" s="5">
        <v>60000</v>
      </c>
      <c r="G75" s="5">
        <f>D75/C75</f>
        <v>1.2593123367044401</v>
      </c>
      <c r="H75" s="5">
        <f>LN(G75)</f>
        <v>0.23056580745943606</v>
      </c>
      <c r="I75" s="5">
        <f>E75/F75</f>
        <v>1.1666666666666667</v>
      </c>
      <c r="J75" s="5">
        <f>LN(I75)</f>
        <v>0.15415067982725836</v>
      </c>
      <c r="K75" s="4">
        <f>H75/J75</f>
        <v>1.4957170978279739</v>
      </c>
      <c r="L75" s="4">
        <f>F75*(D75^(1/K75))</f>
        <v>1103.0783382073082</v>
      </c>
      <c r="M75" s="7">
        <f t="shared" si="13"/>
        <v>1.8210677515131092E-2</v>
      </c>
      <c r="N75" s="8">
        <f t="shared" si="14"/>
        <v>60573.163040791318</v>
      </c>
      <c r="O75">
        <f t="shared" si="15"/>
        <v>3302500</v>
      </c>
      <c r="P75" s="8">
        <f>O75*(K75/(1-K75))*POWER(L75,K75)*(POWER(N74,1-K75)-POWER(N75,1-K75))+P74</f>
        <v>1508963195.3278711</v>
      </c>
      <c r="Q75" s="9">
        <f t="shared" si="16"/>
        <v>8256.25</v>
      </c>
      <c r="R75" s="4">
        <f t="shared" si="17"/>
        <v>182766.1705166233</v>
      </c>
      <c r="S75" s="3">
        <f t="shared" si="18"/>
        <v>38197916960.977661</v>
      </c>
    </row>
    <row r="76" spans="1:19" x14ac:dyDescent="0.2">
      <c r="A76" t="s">
        <v>65</v>
      </c>
      <c r="B76" s="14">
        <v>5.0000000000000001E-3</v>
      </c>
      <c r="C76" s="5">
        <f>S61/100</f>
        <v>3.9096722510825127E-3</v>
      </c>
      <c r="D76" s="5">
        <f>S60/100</f>
        <v>5.3221650168054505E-3</v>
      </c>
      <c r="E76" s="5">
        <v>50000</v>
      </c>
      <c r="F76" s="5">
        <v>40000</v>
      </c>
      <c r="G76" s="5">
        <f>D76/C76</f>
        <v>1.3612816305335687</v>
      </c>
      <c r="H76" s="5">
        <f>LN(G76)</f>
        <v>0.30842663138336901</v>
      </c>
      <c r="I76" s="5">
        <f>E76/F76</f>
        <v>1.25</v>
      </c>
      <c r="J76" s="5">
        <f>LN(I76)</f>
        <v>0.22314355131420976</v>
      </c>
      <c r="K76" s="4">
        <f>H76/J76</f>
        <v>1.3821893107234438</v>
      </c>
      <c r="L76" s="4">
        <f>F76*(D76^(1/K76))</f>
        <v>905.54050072230757</v>
      </c>
      <c r="M76" s="7">
        <f t="shared" si="13"/>
        <v>2.1638544695406197E-2</v>
      </c>
      <c r="N76" s="8">
        <f t="shared" si="14"/>
        <v>41848.493670396943</v>
      </c>
      <c r="O76">
        <f t="shared" si="15"/>
        <v>3302500</v>
      </c>
      <c r="P76" s="8">
        <f>O76*(K76/(1-K76))*POWER(L76,K76)*(POWER(N75,1-K76)-POWER(N76,1-K76))+P75</f>
        <v>1838340806.3822727</v>
      </c>
      <c r="Q76" s="9">
        <f t="shared" si="16"/>
        <v>16512.5</v>
      </c>
      <c r="R76" s="4">
        <f t="shared" si="17"/>
        <v>111330.25322527011</v>
      </c>
      <c r="S76" s="3">
        <f t="shared" si="18"/>
        <v>46535786747.872948</v>
      </c>
    </row>
    <row r="77" spans="1:19" x14ac:dyDescent="0.2">
      <c r="A77" t="s">
        <v>47</v>
      </c>
      <c r="B77" s="14">
        <v>0.01</v>
      </c>
      <c r="C77" s="5">
        <f>S59/100</f>
        <v>8.6848519425889482E-3</v>
      </c>
      <c r="D77" s="5">
        <f>S58/100</f>
        <v>1.118822939348978E-2</v>
      </c>
      <c r="E77" s="5">
        <v>30000</v>
      </c>
      <c r="F77" s="5">
        <v>25000</v>
      </c>
      <c r="G77" s="5">
        <f>D77/C77</f>
        <v>1.2882464165709862</v>
      </c>
      <c r="H77" s="5">
        <f>LN(G77)</f>
        <v>0.25328192659685622</v>
      </c>
      <c r="I77" s="5">
        <f>E77/F77</f>
        <v>1.2</v>
      </c>
      <c r="J77" s="5">
        <f>LN(I77)</f>
        <v>0.18232155679395459</v>
      </c>
      <c r="K77" s="4">
        <f>H77/J77</f>
        <v>1.3892044969926152</v>
      </c>
      <c r="L77" s="4">
        <f>F77*(D77^(1/K77))</f>
        <v>984.84381427863184</v>
      </c>
      <c r="M77" s="7">
        <f t="shared" si="13"/>
        <v>3.6335165958164245E-2</v>
      </c>
      <c r="N77" s="8">
        <f t="shared" si="14"/>
        <v>27104.425927559158</v>
      </c>
      <c r="O77">
        <f t="shared" si="15"/>
        <v>3302500</v>
      </c>
      <c r="P77" s="8">
        <f>O77*(K77/(1-K77))*POWER(L77,K77)*(POWER(N76,1-K77)-POWER(N77,1-K77))+P76</f>
        <v>2335282183.4439831</v>
      </c>
      <c r="Q77" s="9">
        <f t="shared" si="16"/>
        <v>33025</v>
      </c>
      <c r="R77" s="4">
        <f t="shared" si="17"/>
        <v>70712.556652353771</v>
      </c>
      <c r="S77" s="3">
        <f t="shared" si="18"/>
        <v>59115368220.933739</v>
      </c>
    </row>
    <row r="78" spans="1:19" x14ac:dyDescent="0.2">
      <c r="A78" t="s">
        <v>48</v>
      </c>
      <c r="B78" s="14">
        <v>0.02</v>
      </c>
      <c r="C78" s="5">
        <f>S57/100</f>
        <v>1.5494941963361089E-2</v>
      </c>
      <c r="D78" s="5">
        <f>S56/100</f>
        <v>2.4423283825465558E-2</v>
      </c>
      <c r="E78" s="5">
        <v>20000</v>
      </c>
      <c r="F78" s="5">
        <v>15000</v>
      </c>
      <c r="G78" s="5">
        <f>D78/C78</f>
        <v>1.5762100873443849</v>
      </c>
      <c r="H78" s="5">
        <f>LN(G78)</f>
        <v>0.45502328670400688</v>
      </c>
      <c r="I78" s="5">
        <f>E78/F78</f>
        <v>1.3333333333333333</v>
      </c>
      <c r="J78" s="5">
        <f>LN(I78)</f>
        <v>0.28768207245178085</v>
      </c>
      <c r="K78" s="4">
        <f>H78/J78</f>
        <v>1.5816880170045164</v>
      </c>
      <c r="L78" s="4">
        <f>F78*(D78^(1/K78))</f>
        <v>1434.8386003535254</v>
      </c>
      <c r="M78" s="7">
        <f t="shared" si="13"/>
        <v>8.4304375039663176E-2</v>
      </c>
      <c r="N78" s="8">
        <f t="shared" si="14"/>
        <v>17019.74066800766</v>
      </c>
      <c r="O78">
        <f t="shared" si="15"/>
        <v>3302500</v>
      </c>
      <c r="P78" s="8">
        <f>O78*(K78/(1-K78))*POWER(L78,K78)*(POWER(N77,1-K78)-POWER(N78,1-K78))+P77</f>
        <v>3060135804.0345678</v>
      </c>
      <c r="Q78" s="9">
        <f t="shared" si="16"/>
        <v>66050</v>
      </c>
      <c r="R78" s="4">
        <f t="shared" si="17"/>
        <v>46330.595064868554</v>
      </c>
      <c r="S78" s="3">
        <f t="shared" si="18"/>
        <v>77464323645.368118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19">S32+S73</f>
        <v>38059541230.694344</v>
      </c>
      <c r="C85">
        <f t="shared" ref="C85:C90" si="20">816500000000*1.23</f>
        <v>1004295000000</v>
      </c>
      <c r="F85" s="10">
        <f t="shared" ref="F85:F90" si="21">B85/C85*100</f>
        <v>3.7896774583856678</v>
      </c>
    </row>
    <row r="86" spans="1:7" ht="15" x14ac:dyDescent="0.25">
      <c r="A86" s="18">
        <v>1E-3</v>
      </c>
      <c r="B86" s="3">
        <f t="shared" si="19"/>
        <v>51095814100.414909</v>
      </c>
      <c r="C86">
        <f t="shared" si="20"/>
        <v>1004295000000</v>
      </c>
      <c r="F86" s="10">
        <f t="shared" si="21"/>
        <v>5.0877296113606967</v>
      </c>
    </row>
    <row r="87" spans="1:7" ht="15" x14ac:dyDescent="0.25">
      <c r="A87" s="18">
        <v>2.5000000000000001E-3</v>
      </c>
      <c r="B87" s="3">
        <f t="shared" si="19"/>
        <v>76075028155.704956</v>
      </c>
      <c r="C87">
        <f t="shared" si="20"/>
        <v>1004295000000</v>
      </c>
      <c r="F87" s="10">
        <f t="shared" si="21"/>
        <v>7.5749683266077161</v>
      </c>
    </row>
    <row r="88" spans="1:7" ht="15" x14ac:dyDescent="0.25">
      <c r="A88" s="18">
        <v>5.0000000000000001E-3</v>
      </c>
      <c r="B88" s="3">
        <f t="shared" si="19"/>
        <v>101955877307.31396</v>
      </c>
      <c r="C88">
        <f t="shared" si="20"/>
        <v>1004295000000</v>
      </c>
      <c r="F88" s="10">
        <f t="shared" si="21"/>
        <v>10.151984955348176</v>
      </c>
    </row>
    <row r="89" spans="1:7" ht="15" x14ac:dyDescent="0.25">
      <c r="A89" s="19">
        <v>0.01</v>
      </c>
      <c r="B89" s="3">
        <f t="shared" si="19"/>
        <v>138307369540.00235</v>
      </c>
      <c r="C89">
        <f t="shared" si="20"/>
        <v>1004295000000</v>
      </c>
      <c r="F89" s="10">
        <f t="shared" si="21"/>
        <v>13.771587983610628</v>
      </c>
    </row>
    <row r="90" spans="1:7" ht="15" x14ac:dyDescent="0.25">
      <c r="A90" s="19">
        <v>0.02</v>
      </c>
      <c r="B90" s="3">
        <f t="shared" si="19"/>
        <v>191554734472.22998</v>
      </c>
      <c r="C90">
        <f t="shared" si="20"/>
        <v>1004295000000</v>
      </c>
      <c r="F90" s="10">
        <f t="shared" si="21"/>
        <v>19.073552539067702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0"/>
  <sheetViews>
    <sheetView topLeftCell="A66" workbookViewId="0">
      <selection activeCell="F85" sqref="F85:F90"/>
    </sheetView>
  </sheetViews>
  <sheetFormatPr defaultRowHeight="12.75" x14ac:dyDescent="0.2"/>
  <cols>
    <col min="1" max="1" width="12" customWidth="1"/>
    <col min="2" max="2" width="24.42578125" customWidth="1"/>
    <col min="3" max="3" width="14" customWidth="1"/>
    <col min="5" max="5" width="13.140625" customWidth="1"/>
    <col min="7" max="7" width="13.140625" customWidth="1"/>
    <col min="9" max="9" width="13.7109375" customWidth="1"/>
    <col min="11" max="11" width="14.42578125" customWidth="1"/>
    <col min="13" max="13" width="11.85546875" customWidth="1"/>
    <col min="14" max="14" width="12.5703125" customWidth="1"/>
    <col min="16" max="16" width="14.85546875" customWidth="1"/>
    <col min="18" max="18" width="13.28515625" customWidth="1"/>
    <col min="19" max="19" width="18" customWidth="1"/>
    <col min="257" max="257" width="12" customWidth="1"/>
    <col min="258" max="258" width="24.42578125" customWidth="1"/>
    <col min="259" max="259" width="14" customWidth="1"/>
    <col min="261" max="261" width="13.140625" customWidth="1"/>
    <col min="263" max="263" width="13.140625" customWidth="1"/>
    <col min="265" max="265" width="13.7109375" customWidth="1"/>
    <col min="267" max="267" width="14.42578125" customWidth="1"/>
    <col min="269" max="269" width="11.85546875" customWidth="1"/>
    <col min="270" max="270" width="12.5703125" customWidth="1"/>
    <col min="272" max="272" width="14.85546875" customWidth="1"/>
    <col min="274" max="274" width="13.28515625" customWidth="1"/>
    <col min="275" max="275" width="18" customWidth="1"/>
    <col min="513" max="513" width="12" customWidth="1"/>
    <col min="514" max="514" width="24.42578125" customWidth="1"/>
    <col min="515" max="515" width="14" customWidth="1"/>
    <col min="517" max="517" width="13.140625" customWidth="1"/>
    <col min="519" max="519" width="13.140625" customWidth="1"/>
    <col min="521" max="521" width="13.7109375" customWidth="1"/>
    <col min="523" max="523" width="14.42578125" customWidth="1"/>
    <col min="525" max="525" width="11.85546875" customWidth="1"/>
    <col min="526" max="526" width="12.5703125" customWidth="1"/>
    <col min="528" max="528" width="14.85546875" customWidth="1"/>
    <col min="530" max="530" width="13.28515625" customWidth="1"/>
    <col min="531" max="531" width="18" customWidth="1"/>
    <col min="769" max="769" width="12" customWidth="1"/>
    <col min="770" max="770" width="24.42578125" customWidth="1"/>
    <col min="771" max="771" width="14" customWidth="1"/>
    <col min="773" max="773" width="13.140625" customWidth="1"/>
    <col min="775" max="775" width="13.140625" customWidth="1"/>
    <col min="777" max="777" width="13.7109375" customWidth="1"/>
    <col min="779" max="779" width="14.42578125" customWidth="1"/>
    <col min="781" max="781" width="11.85546875" customWidth="1"/>
    <col min="782" max="782" width="12.5703125" customWidth="1"/>
    <col min="784" max="784" width="14.85546875" customWidth="1"/>
    <col min="786" max="786" width="13.28515625" customWidth="1"/>
    <col min="787" max="787" width="18" customWidth="1"/>
    <col min="1025" max="1025" width="12" customWidth="1"/>
    <col min="1026" max="1026" width="24.42578125" customWidth="1"/>
    <col min="1027" max="1027" width="14" customWidth="1"/>
    <col min="1029" max="1029" width="13.140625" customWidth="1"/>
    <col min="1031" max="1031" width="13.140625" customWidth="1"/>
    <col min="1033" max="1033" width="13.7109375" customWidth="1"/>
    <col min="1035" max="1035" width="14.42578125" customWidth="1"/>
    <col min="1037" max="1037" width="11.85546875" customWidth="1"/>
    <col min="1038" max="1038" width="12.5703125" customWidth="1"/>
    <col min="1040" max="1040" width="14.85546875" customWidth="1"/>
    <col min="1042" max="1042" width="13.28515625" customWidth="1"/>
    <col min="1043" max="1043" width="18" customWidth="1"/>
    <col min="1281" max="1281" width="12" customWidth="1"/>
    <col min="1282" max="1282" width="24.42578125" customWidth="1"/>
    <col min="1283" max="1283" width="14" customWidth="1"/>
    <col min="1285" max="1285" width="13.140625" customWidth="1"/>
    <col min="1287" max="1287" width="13.140625" customWidth="1"/>
    <col min="1289" max="1289" width="13.7109375" customWidth="1"/>
    <col min="1291" max="1291" width="14.42578125" customWidth="1"/>
    <col min="1293" max="1293" width="11.85546875" customWidth="1"/>
    <col min="1294" max="1294" width="12.5703125" customWidth="1"/>
    <col min="1296" max="1296" width="14.85546875" customWidth="1"/>
    <col min="1298" max="1298" width="13.28515625" customWidth="1"/>
    <col min="1299" max="1299" width="18" customWidth="1"/>
    <col min="1537" max="1537" width="12" customWidth="1"/>
    <col min="1538" max="1538" width="24.42578125" customWidth="1"/>
    <col min="1539" max="1539" width="14" customWidth="1"/>
    <col min="1541" max="1541" width="13.140625" customWidth="1"/>
    <col min="1543" max="1543" width="13.140625" customWidth="1"/>
    <col min="1545" max="1545" width="13.7109375" customWidth="1"/>
    <col min="1547" max="1547" width="14.42578125" customWidth="1"/>
    <col min="1549" max="1549" width="11.85546875" customWidth="1"/>
    <col min="1550" max="1550" width="12.5703125" customWidth="1"/>
    <col min="1552" max="1552" width="14.85546875" customWidth="1"/>
    <col min="1554" max="1554" width="13.28515625" customWidth="1"/>
    <col min="1555" max="1555" width="18" customWidth="1"/>
    <col min="1793" max="1793" width="12" customWidth="1"/>
    <col min="1794" max="1794" width="24.42578125" customWidth="1"/>
    <col min="1795" max="1795" width="14" customWidth="1"/>
    <col min="1797" max="1797" width="13.140625" customWidth="1"/>
    <col min="1799" max="1799" width="13.140625" customWidth="1"/>
    <col min="1801" max="1801" width="13.7109375" customWidth="1"/>
    <col min="1803" max="1803" width="14.42578125" customWidth="1"/>
    <col min="1805" max="1805" width="11.85546875" customWidth="1"/>
    <col min="1806" max="1806" width="12.5703125" customWidth="1"/>
    <col min="1808" max="1808" width="14.85546875" customWidth="1"/>
    <col min="1810" max="1810" width="13.28515625" customWidth="1"/>
    <col min="1811" max="1811" width="18" customWidth="1"/>
    <col min="2049" max="2049" width="12" customWidth="1"/>
    <col min="2050" max="2050" width="24.42578125" customWidth="1"/>
    <col min="2051" max="2051" width="14" customWidth="1"/>
    <col min="2053" max="2053" width="13.140625" customWidth="1"/>
    <col min="2055" max="2055" width="13.140625" customWidth="1"/>
    <col min="2057" max="2057" width="13.7109375" customWidth="1"/>
    <col min="2059" max="2059" width="14.42578125" customWidth="1"/>
    <col min="2061" max="2061" width="11.85546875" customWidth="1"/>
    <col min="2062" max="2062" width="12.5703125" customWidth="1"/>
    <col min="2064" max="2064" width="14.85546875" customWidth="1"/>
    <col min="2066" max="2066" width="13.28515625" customWidth="1"/>
    <col min="2067" max="2067" width="18" customWidth="1"/>
    <col min="2305" max="2305" width="12" customWidth="1"/>
    <col min="2306" max="2306" width="24.42578125" customWidth="1"/>
    <col min="2307" max="2307" width="14" customWidth="1"/>
    <col min="2309" max="2309" width="13.140625" customWidth="1"/>
    <col min="2311" max="2311" width="13.140625" customWidth="1"/>
    <col min="2313" max="2313" width="13.7109375" customWidth="1"/>
    <col min="2315" max="2315" width="14.42578125" customWidth="1"/>
    <col min="2317" max="2317" width="11.85546875" customWidth="1"/>
    <col min="2318" max="2318" width="12.5703125" customWidth="1"/>
    <col min="2320" max="2320" width="14.85546875" customWidth="1"/>
    <col min="2322" max="2322" width="13.28515625" customWidth="1"/>
    <col min="2323" max="2323" width="18" customWidth="1"/>
    <col min="2561" max="2561" width="12" customWidth="1"/>
    <col min="2562" max="2562" width="24.42578125" customWidth="1"/>
    <col min="2563" max="2563" width="14" customWidth="1"/>
    <col min="2565" max="2565" width="13.140625" customWidth="1"/>
    <col min="2567" max="2567" width="13.140625" customWidth="1"/>
    <col min="2569" max="2569" width="13.7109375" customWidth="1"/>
    <col min="2571" max="2571" width="14.42578125" customWidth="1"/>
    <col min="2573" max="2573" width="11.85546875" customWidth="1"/>
    <col min="2574" max="2574" width="12.5703125" customWidth="1"/>
    <col min="2576" max="2576" width="14.85546875" customWidth="1"/>
    <col min="2578" max="2578" width="13.28515625" customWidth="1"/>
    <col min="2579" max="2579" width="18" customWidth="1"/>
    <col min="2817" max="2817" width="12" customWidth="1"/>
    <col min="2818" max="2818" width="24.42578125" customWidth="1"/>
    <col min="2819" max="2819" width="14" customWidth="1"/>
    <col min="2821" max="2821" width="13.140625" customWidth="1"/>
    <col min="2823" max="2823" width="13.140625" customWidth="1"/>
    <col min="2825" max="2825" width="13.7109375" customWidth="1"/>
    <col min="2827" max="2827" width="14.42578125" customWidth="1"/>
    <col min="2829" max="2829" width="11.85546875" customWidth="1"/>
    <col min="2830" max="2830" width="12.5703125" customWidth="1"/>
    <col min="2832" max="2832" width="14.85546875" customWidth="1"/>
    <col min="2834" max="2834" width="13.28515625" customWidth="1"/>
    <col min="2835" max="2835" width="18" customWidth="1"/>
    <col min="3073" max="3073" width="12" customWidth="1"/>
    <col min="3074" max="3074" width="24.42578125" customWidth="1"/>
    <col min="3075" max="3075" width="14" customWidth="1"/>
    <col min="3077" max="3077" width="13.140625" customWidth="1"/>
    <col min="3079" max="3079" width="13.140625" customWidth="1"/>
    <col min="3081" max="3081" width="13.7109375" customWidth="1"/>
    <col min="3083" max="3083" width="14.42578125" customWidth="1"/>
    <col min="3085" max="3085" width="11.85546875" customWidth="1"/>
    <col min="3086" max="3086" width="12.5703125" customWidth="1"/>
    <col min="3088" max="3088" width="14.85546875" customWidth="1"/>
    <col min="3090" max="3090" width="13.28515625" customWidth="1"/>
    <col min="3091" max="3091" width="18" customWidth="1"/>
    <col min="3329" max="3329" width="12" customWidth="1"/>
    <col min="3330" max="3330" width="24.42578125" customWidth="1"/>
    <col min="3331" max="3331" width="14" customWidth="1"/>
    <col min="3333" max="3333" width="13.140625" customWidth="1"/>
    <col min="3335" max="3335" width="13.140625" customWidth="1"/>
    <col min="3337" max="3337" width="13.7109375" customWidth="1"/>
    <col min="3339" max="3339" width="14.42578125" customWidth="1"/>
    <col min="3341" max="3341" width="11.85546875" customWidth="1"/>
    <col min="3342" max="3342" width="12.5703125" customWidth="1"/>
    <col min="3344" max="3344" width="14.85546875" customWidth="1"/>
    <col min="3346" max="3346" width="13.28515625" customWidth="1"/>
    <col min="3347" max="3347" width="18" customWidth="1"/>
    <col min="3585" max="3585" width="12" customWidth="1"/>
    <col min="3586" max="3586" width="24.42578125" customWidth="1"/>
    <col min="3587" max="3587" width="14" customWidth="1"/>
    <col min="3589" max="3589" width="13.140625" customWidth="1"/>
    <col min="3591" max="3591" width="13.140625" customWidth="1"/>
    <col min="3593" max="3593" width="13.7109375" customWidth="1"/>
    <col min="3595" max="3595" width="14.42578125" customWidth="1"/>
    <col min="3597" max="3597" width="11.85546875" customWidth="1"/>
    <col min="3598" max="3598" width="12.5703125" customWidth="1"/>
    <col min="3600" max="3600" width="14.85546875" customWidth="1"/>
    <col min="3602" max="3602" width="13.28515625" customWidth="1"/>
    <col min="3603" max="3603" width="18" customWidth="1"/>
    <col min="3841" max="3841" width="12" customWidth="1"/>
    <col min="3842" max="3842" width="24.42578125" customWidth="1"/>
    <col min="3843" max="3843" width="14" customWidth="1"/>
    <col min="3845" max="3845" width="13.140625" customWidth="1"/>
    <col min="3847" max="3847" width="13.140625" customWidth="1"/>
    <col min="3849" max="3849" width="13.7109375" customWidth="1"/>
    <col min="3851" max="3851" width="14.42578125" customWidth="1"/>
    <col min="3853" max="3853" width="11.85546875" customWidth="1"/>
    <col min="3854" max="3854" width="12.5703125" customWidth="1"/>
    <col min="3856" max="3856" width="14.85546875" customWidth="1"/>
    <col min="3858" max="3858" width="13.28515625" customWidth="1"/>
    <col min="3859" max="3859" width="18" customWidth="1"/>
    <col min="4097" max="4097" width="12" customWidth="1"/>
    <col min="4098" max="4098" width="24.42578125" customWidth="1"/>
    <col min="4099" max="4099" width="14" customWidth="1"/>
    <col min="4101" max="4101" width="13.140625" customWidth="1"/>
    <col min="4103" max="4103" width="13.140625" customWidth="1"/>
    <col min="4105" max="4105" width="13.7109375" customWidth="1"/>
    <col min="4107" max="4107" width="14.42578125" customWidth="1"/>
    <col min="4109" max="4109" width="11.85546875" customWidth="1"/>
    <col min="4110" max="4110" width="12.5703125" customWidth="1"/>
    <col min="4112" max="4112" width="14.85546875" customWidth="1"/>
    <col min="4114" max="4114" width="13.28515625" customWidth="1"/>
    <col min="4115" max="4115" width="18" customWidth="1"/>
    <col min="4353" max="4353" width="12" customWidth="1"/>
    <col min="4354" max="4354" width="24.42578125" customWidth="1"/>
    <col min="4355" max="4355" width="14" customWidth="1"/>
    <col min="4357" max="4357" width="13.140625" customWidth="1"/>
    <col min="4359" max="4359" width="13.140625" customWidth="1"/>
    <col min="4361" max="4361" width="13.7109375" customWidth="1"/>
    <col min="4363" max="4363" width="14.42578125" customWidth="1"/>
    <col min="4365" max="4365" width="11.85546875" customWidth="1"/>
    <col min="4366" max="4366" width="12.5703125" customWidth="1"/>
    <col min="4368" max="4368" width="14.85546875" customWidth="1"/>
    <col min="4370" max="4370" width="13.28515625" customWidth="1"/>
    <col min="4371" max="4371" width="18" customWidth="1"/>
    <col min="4609" max="4609" width="12" customWidth="1"/>
    <col min="4610" max="4610" width="24.42578125" customWidth="1"/>
    <col min="4611" max="4611" width="14" customWidth="1"/>
    <col min="4613" max="4613" width="13.140625" customWidth="1"/>
    <col min="4615" max="4615" width="13.140625" customWidth="1"/>
    <col min="4617" max="4617" width="13.7109375" customWidth="1"/>
    <col min="4619" max="4619" width="14.42578125" customWidth="1"/>
    <col min="4621" max="4621" width="11.85546875" customWidth="1"/>
    <col min="4622" max="4622" width="12.5703125" customWidth="1"/>
    <col min="4624" max="4624" width="14.85546875" customWidth="1"/>
    <col min="4626" max="4626" width="13.28515625" customWidth="1"/>
    <col min="4627" max="4627" width="18" customWidth="1"/>
    <col min="4865" max="4865" width="12" customWidth="1"/>
    <col min="4866" max="4866" width="24.42578125" customWidth="1"/>
    <col min="4867" max="4867" width="14" customWidth="1"/>
    <col min="4869" max="4869" width="13.140625" customWidth="1"/>
    <col min="4871" max="4871" width="13.140625" customWidth="1"/>
    <col min="4873" max="4873" width="13.7109375" customWidth="1"/>
    <col min="4875" max="4875" width="14.42578125" customWidth="1"/>
    <col min="4877" max="4877" width="11.85546875" customWidth="1"/>
    <col min="4878" max="4878" width="12.5703125" customWidth="1"/>
    <col min="4880" max="4880" width="14.85546875" customWidth="1"/>
    <col min="4882" max="4882" width="13.28515625" customWidth="1"/>
    <col min="4883" max="4883" width="18" customWidth="1"/>
    <col min="5121" max="5121" width="12" customWidth="1"/>
    <col min="5122" max="5122" width="24.42578125" customWidth="1"/>
    <col min="5123" max="5123" width="14" customWidth="1"/>
    <col min="5125" max="5125" width="13.140625" customWidth="1"/>
    <col min="5127" max="5127" width="13.140625" customWidth="1"/>
    <col min="5129" max="5129" width="13.7109375" customWidth="1"/>
    <col min="5131" max="5131" width="14.42578125" customWidth="1"/>
    <col min="5133" max="5133" width="11.85546875" customWidth="1"/>
    <col min="5134" max="5134" width="12.5703125" customWidth="1"/>
    <col min="5136" max="5136" width="14.85546875" customWidth="1"/>
    <col min="5138" max="5138" width="13.28515625" customWidth="1"/>
    <col min="5139" max="5139" width="18" customWidth="1"/>
    <col min="5377" max="5377" width="12" customWidth="1"/>
    <col min="5378" max="5378" width="24.42578125" customWidth="1"/>
    <col min="5379" max="5379" width="14" customWidth="1"/>
    <col min="5381" max="5381" width="13.140625" customWidth="1"/>
    <col min="5383" max="5383" width="13.140625" customWidth="1"/>
    <col min="5385" max="5385" width="13.7109375" customWidth="1"/>
    <col min="5387" max="5387" width="14.42578125" customWidth="1"/>
    <col min="5389" max="5389" width="11.85546875" customWidth="1"/>
    <col min="5390" max="5390" width="12.5703125" customWidth="1"/>
    <col min="5392" max="5392" width="14.85546875" customWidth="1"/>
    <col min="5394" max="5394" width="13.28515625" customWidth="1"/>
    <col min="5395" max="5395" width="18" customWidth="1"/>
    <col min="5633" max="5633" width="12" customWidth="1"/>
    <col min="5634" max="5634" width="24.42578125" customWidth="1"/>
    <col min="5635" max="5635" width="14" customWidth="1"/>
    <col min="5637" max="5637" width="13.140625" customWidth="1"/>
    <col min="5639" max="5639" width="13.140625" customWidth="1"/>
    <col min="5641" max="5641" width="13.7109375" customWidth="1"/>
    <col min="5643" max="5643" width="14.42578125" customWidth="1"/>
    <col min="5645" max="5645" width="11.85546875" customWidth="1"/>
    <col min="5646" max="5646" width="12.5703125" customWidth="1"/>
    <col min="5648" max="5648" width="14.85546875" customWidth="1"/>
    <col min="5650" max="5650" width="13.28515625" customWidth="1"/>
    <col min="5651" max="5651" width="18" customWidth="1"/>
    <col min="5889" max="5889" width="12" customWidth="1"/>
    <col min="5890" max="5890" width="24.42578125" customWidth="1"/>
    <col min="5891" max="5891" width="14" customWidth="1"/>
    <col min="5893" max="5893" width="13.140625" customWidth="1"/>
    <col min="5895" max="5895" width="13.140625" customWidth="1"/>
    <col min="5897" max="5897" width="13.7109375" customWidth="1"/>
    <col min="5899" max="5899" width="14.42578125" customWidth="1"/>
    <col min="5901" max="5901" width="11.85546875" customWidth="1"/>
    <col min="5902" max="5902" width="12.5703125" customWidth="1"/>
    <col min="5904" max="5904" width="14.85546875" customWidth="1"/>
    <col min="5906" max="5906" width="13.28515625" customWidth="1"/>
    <col min="5907" max="5907" width="18" customWidth="1"/>
    <col min="6145" max="6145" width="12" customWidth="1"/>
    <col min="6146" max="6146" width="24.42578125" customWidth="1"/>
    <col min="6147" max="6147" width="14" customWidth="1"/>
    <col min="6149" max="6149" width="13.140625" customWidth="1"/>
    <col min="6151" max="6151" width="13.140625" customWidth="1"/>
    <col min="6153" max="6153" width="13.7109375" customWidth="1"/>
    <col min="6155" max="6155" width="14.42578125" customWidth="1"/>
    <col min="6157" max="6157" width="11.85546875" customWidth="1"/>
    <col min="6158" max="6158" width="12.5703125" customWidth="1"/>
    <col min="6160" max="6160" width="14.85546875" customWidth="1"/>
    <col min="6162" max="6162" width="13.28515625" customWidth="1"/>
    <col min="6163" max="6163" width="18" customWidth="1"/>
    <col min="6401" max="6401" width="12" customWidth="1"/>
    <col min="6402" max="6402" width="24.42578125" customWidth="1"/>
    <col min="6403" max="6403" width="14" customWidth="1"/>
    <col min="6405" max="6405" width="13.140625" customWidth="1"/>
    <col min="6407" max="6407" width="13.140625" customWidth="1"/>
    <col min="6409" max="6409" width="13.7109375" customWidth="1"/>
    <col min="6411" max="6411" width="14.42578125" customWidth="1"/>
    <col min="6413" max="6413" width="11.85546875" customWidth="1"/>
    <col min="6414" max="6414" width="12.5703125" customWidth="1"/>
    <col min="6416" max="6416" width="14.85546875" customWidth="1"/>
    <col min="6418" max="6418" width="13.28515625" customWidth="1"/>
    <col min="6419" max="6419" width="18" customWidth="1"/>
    <col min="6657" max="6657" width="12" customWidth="1"/>
    <col min="6658" max="6658" width="24.42578125" customWidth="1"/>
    <col min="6659" max="6659" width="14" customWidth="1"/>
    <col min="6661" max="6661" width="13.140625" customWidth="1"/>
    <col min="6663" max="6663" width="13.140625" customWidth="1"/>
    <col min="6665" max="6665" width="13.7109375" customWidth="1"/>
    <col min="6667" max="6667" width="14.42578125" customWidth="1"/>
    <col min="6669" max="6669" width="11.85546875" customWidth="1"/>
    <col min="6670" max="6670" width="12.5703125" customWidth="1"/>
    <col min="6672" max="6672" width="14.85546875" customWidth="1"/>
    <col min="6674" max="6674" width="13.28515625" customWidth="1"/>
    <col min="6675" max="6675" width="18" customWidth="1"/>
    <col min="6913" max="6913" width="12" customWidth="1"/>
    <col min="6914" max="6914" width="24.42578125" customWidth="1"/>
    <col min="6915" max="6915" width="14" customWidth="1"/>
    <col min="6917" max="6917" width="13.140625" customWidth="1"/>
    <col min="6919" max="6919" width="13.140625" customWidth="1"/>
    <col min="6921" max="6921" width="13.7109375" customWidth="1"/>
    <col min="6923" max="6923" width="14.42578125" customWidth="1"/>
    <col min="6925" max="6925" width="11.85546875" customWidth="1"/>
    <col min="6926" max="6926" width="12.5703125" customWidth="1"/>
    <col min="6928" max="6928" width="14.85546875" customWidth="1"/>
    <col min="6930" max="6930" width="13.28515625" customWidth="1"/>
    <col min="6931" max="6931" width="18" customWidth="1"/>
    <col min="7169" max="7169" width="12" customWidth="1"/>
    <col min="7170" max="7170" width="24.42578125" customWidth="1"/>
    <col min="7171" max="7171" width="14" customWidth="1"/>
    <col min="7173" max="7173" width="13.140625" customWidth="1"/>
    <col min="7175" max="7175" width="13.140625" customWidth="1"/>
    <col min="7177" max="7177" width="13.7109375" customWidth="1"/>
    <col min="7179" max="7179" width="14.42578125" customWidth="1"/>
    <col min="7181" max="7181" width="11.85546875" customWidth="1"/>
    <col min="7182" max="7182" width="12.5703125" customWidth="1"/>
    <col min="7184" max="7184" width="14.85546875" customWidth="1"/>
    <col min="7186" max="7186" width="13.28515625" customWidth="1"/>
    <col min="7187" max="7187" width="18" customWidth="1"/>
    <col min="7425" max="7425" width="12" customWidth="1"/>
    <col min="7426" max="7426" width="24.42578125" customWidth="1"/>
    <col min="7427" max="7427" width="14" customWidth="1"/>
    <col min="7429" max="7429" width="13.140625" customWidth="1"/>
    <col min="7431" max="7431" width="13.140625" customWidth="1"/>
    <col min="7433" max="7433" width="13.7109375" customWidth="1"/>
    <col min="7435" max="7435" width="14.42578125" customWidth="1"/>
    <col min="7437" max="7437" width="11.85546875" customWidth="1"/>
    <col min="7438" max="7438" width="12.5703125" customWidth="1"/>
    <col min="7440" max="7440" width="14.85546875" customWidth="1"/>
    <col min="7442" max="7442" width="13.28515625" customWidth="1"/>
    <col min="7443" max="7443" width="18" customWidth="1"/>
    <col min="7681" max="7681" width="12" customWidth="1"/>
    <col min="7682" max="7682" width="24.42578125" customWidth="1"/>
    <col min="7683" max="7683" width="14" customWidth="1"/>
    <col min="7685" max="7685" width="13.140625" customWidth="1"/>
    <col min="7687" max="7687" width="13.140625" customWidth="1"/>
    <col min="7689" max="7689" width="13.7109375" customWidth="1"/>
    <col min="7691" max="7691" width="14.42578125" customWidth="1"/>
    <col min="7693" max="7693" width="11.85546875" customWidth="1"/>
    <col min="7694" max="7694" width="12.5703125" customWidth="1"/>
    <col min="7696" max="7696" width="14.85546875" customWidth="1"/>
    <col min="7698" max="7698" width="13.28515625" customWidth="1"/>
    <col min="7699" max="7699" width="18" customWidth="1"/>
    <col min="7937" max="7937" width="12" customWidth="1"/>
    <col min="7938" max="7938" width="24.42578125" customWidth="1"/>
    <col min="7939" max="7939" width="14" customWidth="1"/>
    <col min="7941" max="7941" width="13.140625" customWidth="1"/>
    <col min="7943" max="7943" width="13.140625" customWidth="1"/>
    <col min="7945" max="7945" width="13.7109375" customWidth="1"/>
    <col min="7947" max="7947" width="14.42578125" customWidth="1"/>
    <col min="7949" max="7949" width="11.85546875" customWidth="1"/>
    <col min="7950" max="7950" width="12.5703125" customWidth="1"/>
    <col min="7952" max="7952" width="14.85546875" customWidth="1"/>
    <col min="7954" max="7954" width="13.28515625" customWidth="1"/>
    <col min="7955" max="7955" width="18" customWidth="1"/>
    <col min="8193" max="8193" width="12" customWidth="1"/>
    <col min="8194" max="8194" width="24.42578125" customWidth="1"/>
    <col min="8195" max="8195" width="14" customWidth="1"/>
    <col min="8197" max="8197" width="13.140625" customWidth="1"/>
    <col min="8199" max="8199" width="13.140625" customWidth="1"/>
    <col min="8201" max="8201" width="13.7109375" customWidth="1"/>
    <col min="8203" max="8203" width="14.42578125" customWidth="1"/>
    <col min="8205" max="8205" width="11.85546875" customWidth="1"/>
    <col min="8206" max="8206" width="12.5703125" customWidth="1"/>
    <col min="8208" max="8208" width="14.85546875" customWidth="1"/>
    <col min="8210" max="8210" width="13.28515625" customWidth="1"/>
    <col min="8211" max="8211" width="18" customWidth="1"/>
    <col min="8449" max="8449" width="12" customWidth="1"/>
    <col min="8450" max="8450" width="24.42578125" customWidth="1"/>
    <col min="8451" max="8451" width="14" customWidth="1"/>
    <col min="8453" max="8453" width="13.140625" customWidth="1"/>
    <col min="8455" max="8455" width="13.140625" customWidth="1"/>
    <col min="8457" max="8457" width="13.7109375" customWidth="1"/>
    <col min="8459" max="8459" width="14.42578125" customWidth="1"/>
    <col min="8461" max="8461" width="11.85546875" customWidth="1"/>
    <col min="8462" max="8462" width="12.5703125" customWidth="1"/>
    <col min="8464" max="8464" width="14.85546875" customWidth="1"/>
    <col min="8466" max="8466" width="13.28515625" customWidth="1"/>
    <col min="8467" max="8467" width="18" customWidth="1"/>
    <col min="8705" max="8705" width="12" customWidth="1"/>
    <col min="8706" max="8706" width="24.42578125" customWidth="1"/>
    <col min="8707" max="8707" width="14" customWidth="1"/>
    <col min="8709" max="8709" width="13.140625" customWidth="1"/>
    <col min="8711" max="8711" width="13.140625" customWidth="1"/>
    <col min="8713" max="8713" width="13.7109375" customWidth="1"/>
    <col min="8715" max="8715" width="14.42578125" customWidth="1"/>
    <col min="8717" max="8717" width="11.85546875" customWidth="1"/>
    <col min="8718" max="8718" width="12.5703125" customWidth="1"/>
    <col min="8720" max="8720" width="14.85546875" customWidth="1"/>
    <col min="8722" max="8722" width="13.28515625" customWidth="1"/>
    <col min="8723" max="8723" width="18" customWidth="1"/>
    <col min="8961" max="8961" width="12" customWidth="1"/>
    <col min="8962" max="8962" width="24.42578125" customWidth="1"/>
    <col min="8963" max="8963" width="14" customWidth="1"/>
    <col min="8965" max="8965" width="13.140625" customWidth="1"/>
    <col min="8967" max="8967" width="13.140625" customWidth="1"/>
    <col min="8969" max="8969" width="13.7109375" customWidth="1"/>
    <col min="8971" max="8971" width="14.42578125" customWidth="1"/>
    <col min="8973" max="8973" width="11.85546875" customWidth="1"/>
    <col min="8974" max="8974" width="12.5703125" customWidth="1"/>
    <col min="8976" max="8976" width="14.85546875" customWidth="1"/>
    <col min="8978" max="8978" width="13.28515625" customWidth="1"/>
    <col min="8979" max="8979" width="18" customWidth="1"/>
    <col min="9217" max="9217" width="12" customWidth="1"/>
    <col min="9218" max="9218" width="24.42578125" customWidth="1"/>
    <col min="9219" max="9219" width="14" customWidth="1"/>
    <col min="9221" max="9221" width="13.140625" customWidth="1"/>
    <col min="9223" max="9223" width="13.140625" customWidth="1"/>
    <col min="9225" max="9225" width="13.7109375" customWidth="1"/>
    <col min="9227" max="9227" width="14.42578125" customWidth="1"/>
    <col min="9229" max="9229" width="11.85546875" customWidth="1"/>
    <col min="9230" max="9230" width="12.5703125" customWidth="1"/>
    <col min="9232" max="9232" width="14.85546875" customWidth="1"/>
    <col min="9234" max="9234" width="13.28515625" customWidth="1"/>
    <col min="9235" max="9235" width="18" customWidth="1"/>
    <col min="9473" max="9473" width="12" customWidth="1"/>
    <col min="9474" max="9474" width="24.42578125" customWidth="1"/>
    <col min="9475" max="9475" width="14" customWidth="1"/>
    <col min="9477" max="9477" width="13.140625" customWidth="1"/>
    <col min="9479" max="9479" width="13.140625" customWidth="1"/>
    <col min="9481" max="9481" width="13.7109375" customWidth="1"/>
    <col min="9483" max="9483" width="14.42578125" customWidth="1"/>
    <col min="9485" max="9485" width="11.85546875" customWidth="1"/>
    <col min="9486" max="9486" width="12.5703125" customWidth="1"/>
    <col min="9488" max="9488" width="14.85546875" customWidth="1"/>
    <col min="9490" max="9490" width="13.28515625" customWidth="1"/>
    <col min="9491" max="9491" width="18" customWidth="1"/>
    <col min="9729" max="9729" width="12" customWidth="1"/>
    <col min="9730" max="9730" width="24.42578125" customWidth="1"/>
    <col min="9731" max="9731" width="14" customWidth="1"/>
    <col min="9733" max="9733" width="13.140625" customWidth="1"/>
    <col min="9735" max="9735" width="13.140625" customWidth="1"/>
    <col min="9737" max="9737" width="13.7109375" customWidth="1"/>
    <col min="9739" max="9739" width="14.42578125" customWidth="1"/>
    <col min="9741" max="9741" width="11.85546875" customWidth="1"/>
    <col min="9742" max="9742" width="12.5703125" customWidth="1"/>
    <col min="9744" max="9744" width="14.85546875" customWidth="1"/>
    <col min="9746" max="9746" width="13.28515625" customWidth="1"/>
    <col min="9747" max="9747" width="18" customWidth="1"/>
    <col min="9985" max="9985" width="12" customWidth="1"/>
    <col min="9986" max="9986" width="24.42578125" customWidth="1"/>
    <col min="9987" max="9987" width="14" customWidth="1"/>
    <col min="9989" max="9989" width="13.140625" customWidth="1"/>
    <col min="9991" max="9991" width="13.140625" customWidth="1"/>
    <col min="9993" max="9993" width="13.7109375" customWidth="1"/>
    <col min="9995" max="9995" width="14.42578125" customWidth="1"/>
    <col min="9997" max="9997" width="11.85546875" customWidth="1"/>
    <col min="9998" max="9998" width="12.5703125" customWidth="1"/>
    <col min="10000" max="10000" width="14.85546875" customWidth="1"/>
    <col min="10002" max="10002" width="13.28515625" customWidth="1"/>
    <col min="10003" max="10003" width="18" customWidth="1"/>
    <col min="10241" max="10241" width="12" customWidth="1"/>
    <col min="10242" max="10242" width="24.42578125" customWidth="1"/>
    <col min="10243" max="10243" width="14" customWidth="1"/>
    <col min="10245" max="10245" width="13.140625" customWidth="1"/>
    <col min="10247" max="10247" width="13.140625" customWidth="1"/>
    <col min="10249" max="10249" width="13.7109375" customWidth="1"/>
    <col min="10251" max="10251" width="14.42578125" customWidth="1"/>
    <col min="10253" max="10253" width="11.85546875" customWidth="1"/>
    <col min="10254" max="10254" width="12.5703125" customWidth="1"/>
    <col min="10256" max="10256" width="14.85546875" customWidth="1"/>
    <col min="10258" max="10258" width="13.28515625" customWidth="1"/>
    <col min="10259" max="10259" width="18" customWidth="1"/>
    <col min="10497" max="10497" width="12" customWidth="1"/>
    <col min="10498" max="10498" width="24.42578125" customWidth="1"/>
    <col min="10499" max="10499" width="14" customWidth="1"/>
    <col min="10501" max="10501" width="13.140625" customWidth="1"/>
    <col min="10503" max="10503" width="13.140625" customWidth="1"/>
    <col min="10505" max="10505" width="13.7109375" customWidth="1"/>
    <col min="10507" max="10507" width="14.42578125" customWidth="1"/>
    <col min="10509" max="10509" width="11.85546875" customWidth="1"/>
    <col min="10510" max="10510" width="12.5703125" customWidth="1"/>
    <col min="10512" max="10512" width="14.85546875" customWidth="1"/>
    <col min="10514" max="10514" width="13.28515625" customWidth="1"/>
    <col min="10515" max="10515" width="18" customWidth="1"/>
    <col min="10753" max="10753" width="12" customWidth="1"/>
    <col min="10754" max="10754" width="24.42578125" customWidth="1"/>
    <col min="10755" max="10755" width="14" customWidth="1"/>
    <col min="10757" max="10757" width="13.140625" customWidth="1"/>
    <col min="10759" max="10759" width="13.140625" customWidth="1"/>
    <col min="10761" max="10761" width="13.7109375" customWidth="1"/>
    <col min="10763" max="10763" width="14.42578125" customWidth="1"/>
    <col min="10765" max="10765" width="11.85546875" customWidth="1"/>
    <col min="10766" max="10766" width="12.5703125" customWidth="1"/>
    <col min="10768" max="10768" width="14.85546875" customWidth="1"/>
    <col min="10770" max="10770" width="13.28515625" customWidth="1"/>
    <col min="10771" max="10771" width="18" customWidth="1"/>
    <col min="11009" max="11009" width="12" customWidth="1"/>
    <col min="11010" max="11010" width="24.42578125" customWidth="1"/>
    <col min="11011" max="11011" width="14" customWidth="1"/>
    <col min="11013" max="11013" width="13.140625" customWidth="1"/>
    <col min="11015" max="11015" width="13.140625" customWidth="1"/>
    <col min="11017" max="11017" width="13.7109375" customWidth="1"/>
    <col min="11019" max="11019" width="14.42578125" customWidth="1"/>
    <col min="11021" max="11021" width="11.85546875" customWidth="1"/>
    <col min="11022" max="11022" width="12.5703125" customWidth="1"/>
    <col min="11024" max="11024" width="14.85546875" customWidth="1"/>
    <col min="11026" max="11026" width="13.28515625" customWidth="1"/>
    <col min="11027" max="11027" width="18" customWidth="1"/>
    <col min="11265" max="11265" width="12" customWidth="1"/>
    <col min="11266" max="11266" width="24.42578125" customWidth="1"/>
    <col min="11267" max="11267" width="14" customWidth="1"/>
    <col min="11269" max="11269" width="13.140625" customWidth="1"/>
    <col min="11271" max="11271" width="13.140625" customWidth="1"/>
    <col min="11273" max="11273" width="13.7109375" customWidth="1"/>
    <col min="11275" max="11275" width="14.42578125" customWidth="1"/>
    <col min="11277" max="11277" width="11.85546875" customWidth="1"/>
    <col min="11278" max="11278" width="12.5703125" customWidth="1"/>
    <col min="11280" max="11280" width="14.85546875" customWidth="1"/>
    <col min="11282" max="11282" width="13.28515625" customWidth="1"/>
    <col min="11283" max="11283" width="18" customWidth="1"/>
    <col min="11521" max="11521" width="12" customWidth="1"/>
    <col min="11522" max="11522" width="24.42578125" customWidth="1"/>
    <col min="11523" max="11523" width="14" customWidth="1"/>
    <col min="11525" max="11525" width="13.140625" customWidth="1"/>
    <col min="11527" max="11527" width="13.140625" customWidth="1"/>
    <col min="11529" max="11529" width="13.7109375" customWidth="1"/>
    <col min="11531" max="11531" width="14.42578125" customWidth="1"/>
    <col min="11533" max="11533" width="11.85546875" customWidth="1"/>
    <col min="11534" max="11534" width="12.5703125" customWidth="1"/>
    <col min="11536" max="11536" width="14.85546875" customWidth="1"/>
    <col min="11538" max="11538" width="13.28515625" customWidth="1"/>
    <col min="11539" max="11539" width="18" customWidth="1"/>
    <col min="11777" max="11777" width="12" customWidth="1"/>
    <col min="11778" max="11778" width="24.42578125" customWidth="1"/>
    <col min="11779" max="11779" width="14" customWidth="1"/>
    <col min="11781" max="11781" width="13.140625" customWidth="1"/>
    <col min="11783" max="11783" width="13.140625" customWidth="1"/>
    <col min="11785" max="11785" width="13.7109375" customWidth="1"/>
    <col min="11787" max="11787" width="14.42578125" customWidth="1"/>
    <col min="11789" max="11789" width="11.85546875" customWidth="1"/>
    <col min="11790" max="11790" width="12.5703125" customWidth="1"/>
    <col min="11792" max="11792" width="14.85546875" customWidth="1"/>
    <col min="11794" max="11794" width="13.28515625" customWidth="1"/>
    <col min="11795" max="11795" width="18" customWidth="1"/>
    <col min="12033" max="12033" width="12" customWidth="1"/>
    <col min="12034" max="12034" width="24.42578125" customWidth="1"/>
    <col min="12035" max="12035" width="14" customWidth="1"/>
    <col min="12037" max="12037" width="13.140625" customWidth="1"/>
    <col min="12039" max="12039" width="13.140625" customWidth="1"/>
    <col min="12041" max="12041" width="13.7109375" customWidth="1"/>
    <col min="12043" max="12043" width="14.42578125" customWidth="1"/>
    <col min="12045" max="12045" width="11.85546875" customWidth="1"/>
    <col min="12046" max="12046" width="12.5703125" customWidth="1"/>
    <col min="12048" max="12048" width="14.85546875" customWidth="1"/>
    <col min="12050" max="12050" width="13.28515625" customWidth="1"/>
    <col min="12051" max="12051" width="18" customWidth="1"/>
    <col min="12289" max="12289" width="12" customWidth="1"/>
    <col min="12290" max="12290" width="24.42578125" customWidth="1"/>
    <col min="12291" max="12291" width="14" customWidth="1"/>
    <col min="12293" max="12293" width="13.140625" customWidth="1"/>
    <col min="12295" max="12295" width="13.140625" customWidth="1"/>
    <col min="12297" max="12297" width="13.7109375" customWidth="1"/>
    <col min="12299" max="12299" width="14.42578125" customWidth="1"/>
    <col min="12301" max="12301" width="11.85546875" customWidth="1"/>
    <col min="12302" max="12302" width="12.5703125" customWidth="1"/>
    <col min="12304" max="12304" width="14.85546875" customWidth="1"/>
    <col min="12306" max="12306" width="13.28515625" customWidth="1"/>
    <col min="12307" max="12307" width="18" customWidth="1"/>
    <col min="12545" max="12545" width="12" customWidth="1"/>
    <col min="12546" max="12546" width="24.42578125" customWidth="1"/>
    <col min="12547" max="12547" width="14" customWidth="1"/>
    <col min="12549" max="12549" width="13.140625" customWidth="1"/>
    <col min="12551" max="12551" width="13.140625" customWidth="1"/>
    <col min="12553" max="12553" width="13.7109375" customWidth="1"/>
    <col min="12555" max="12555" width="14.42578125" customWidth="1"/>
    <col min="12557" max="12557" width="11.85546875" customWidth="1"/>
    <col min="12558" max="12558" width="12.5703125" customWidth="1"/>
    <col min="12560" max="12560" width="14.85546875" customWidth="1"/>
    <col min="12562" max="12562" width="13.28515625" customWidth="1"/>
    <col min="12563" max="12563" width="18" customWidth="1"/>
    <col min="12801" max="12801" width="12" customWidth="1"/>
    <col min="12802" max="12802" width="24.42578125" customWidth="1"/>
    <col min="12803" max="12803" width="14" customWidth="1"/>
    <col min="12805" max="12805" width="13.140625" customWidth="1"/>
    <col min="12807" max="12807" width="13.140625" customWidth="1"/>
    <col min="12809" max="12809" width="13.7109375" customWidth="1"/>
    <col min="12811" max="12811" width="14.42578125" customWidth="1"/>
    <col min="12813" max="12813" width="11.85546875" customWidth="1"/>
    <col min="12814" max="12814" width="12.5703125" customWidth="1"/>
    <col min="12816" max="12816" width="14.85546875" customWidth="1"/>
    <col min="12818" max="12818" width="13.28515625" customWidth="1"/>
    <col min="12819" max="12819" width="18" customWidth="1"/>
    <col min="13057" max="13057" width="12" customWidth="1"/>
    <col min="13058" max="13058" width="24.42578125" customWidth="1"/>
    <col min="13059" max="13059" width="14" customWidth="1"/>
    <col min="13061" max="13061" width="13.140625" customWidth="1"/>
    <col min="13063" max="13063" width="13.140625" customWidth="1"/>
    <col min="13065" max="13065" width="13.7109375" customWidth="1"/>
    <col min="13067" max="13067" width="14.42578125" customWidth="1"/>
    <col min="13069" max="13069" width="11.85546875" customWidth="1"/>
    <col min="13070" max="13070" width="12.5703125" customWidth="1"/>
    <col min="13072" max="13072" width="14.85546875" customWidth="1"/>
    <col min="13074" max="13074" width="13.28515625" customWidth="1"/>
    <col min="13075" max="13075" width="18" customWidth="1"/>
    <col min="13313" max="13313" width="12" customWidth="1"/>
    <col min="13314" max="13314" width="24.42578125" customWidth="1"/>
    <col min="13315" max="13315" width="14" customWidth="1"/>
    <col min="13317" max="13317" width="13.140625" customWidth="1"/>
    <col min="13319" max="13319" width="13.140625" customWidth="1"/>
    <col min="13321" max="13321" width="13.7109375" customWidth="1"/>
    <col min="13323" max="13323" width="14.42578125" customWidth="1"/>
    <col min="13325" max="13325" width="11.85546875" customWidth="1"/>
    <col min="13326" max="13326" width="12.5703125" customWidth="1"/>
    <col min="13328" max="13328" width="14.85546875" customWidth="1"/>
    <col min="13330" max="13330" width="13.28515625" customWidth="1"/>
    <col min="13331" max="13331" width="18" customWidth="1"/>
    <col min="13569" max="13569" width="12" customWidth="1"/>
    <col min="13570" max="13570" width="24.42578125" customWidth="1"/>
    <col min="13571" max="13571" width="14" customWidth="1"/>
    <col min="13573" max="13573" width="13.140625" customWidth="1"/>
    <col min="13575" max="13575" width="13.140625" customWidth="1"/>
    <col min="13577" max="13577" width="13.7109375" customWidth="1"/>
    <col min="13579" max="13579" width="14.42578125" customWidth="1"/>
    <col min="13581" max="13581" width="11.85546875" customWidth="1"/>
    <col min="13582" max="13582" width="12.5703125" customWidth="1"/>
    <col min="13584" max="13584" width="14.85546875" customWidth="1"/>
    <col min="13586" max="13586" width="13.28515625" customWidth="1"/>
    <col min="13587" max="13587" width="18" customWidth="1"/>
    <col min="13825" max="13825" width="12" customWidth="1"/>
    <col min="13826" max="13826" width="24.42578125" customWidth="1"/>
    <col min="13827" max="13827" width="14" customWidth="1"/>
    <col min="13829" max="13829" width="13.140625" customWidth="1"/>
    <col min="13831" max="13831" width="13.140625" customWidth="1"/>
    <col min="13833" max="13833" width="13.7109375" customWidth="1"/>
    <col min="13835" max="13835" width="14.42578125" customWidth="1"/>
    <col min="13837" max="13837" width="11.85546875" customWidth="1"/>
    <col min="13838" max="13838" width="12.5703125" customWidth="1"/>
    <col min="13840" max="13840" width="14.85546875" customWidth="1"/>
    <col min="13842" max="13842" width="13.28515625" customWidth="1"/>
    <col min="13843" max="13843" width="18" customWidth="1"/>
    <col min="14081" max="14081" width="12" customWidth="1"/>
    <col min="14082" max="14082" width="24.42578125" customWidth="1"/>
    <col min="14083" max="14083" width="14" customWidth="1"/>
    <col min="14085" max="14085" width="13.140625" customWidth="1"/>
    <col min="14087" max="14087" width="13.140625" customWidth="1"/>
    <col min="14089" max="14089" width="13.7109375" customWidth="1"/>
    <col min="14091" max="14091" width="14.42578125" customWidth="1"/>
    <col min="14093" max="14093" width="11.85546875" customWidth="1"/>
    <col min="14094" max="14094" width="12.5703125" customWidth="1"/>
    <col min="14096" max="14096" width="14.85546875" customWidth="1"/>
    <col min="14098" max="14098" width="13.28515625" customWidth="1"/>
    <col min="14099" max="14099" width="18" customWidth="1"/>
    <col min="14337" max="14337" width="12" customWidth="1"/>
    <col min="14338" max="14338" width="24.42578125" customWidth="1"/>
    <col min="14339" max="14339" width="14" customWidth="1"/>
    <col min="14341" max="14341" width="13.140625" customWidth="1"/>
    <col min="14343" max="14343" width="13.140625" customWidth="1"/>
    <col min="14345" max="14345" width="13.7109375" customWidth="1"/>
    <col min="14347" max="14347" width="14.42578125" customWidth="1"/>
    <col min="14349" max="14349" width="11.85546875" customWidth="1"/>
    <col min="14350" max="14350" width="12.5703125" customWidth="1"/>
    <col min="14352" max="14352" width="14.85546875" customWidth="1"/>
    <col min="14354" max="14354" width="13.28515625" customWidth="1"/>
    <col min="14355" max="14355" width="18" customWidth="1"/>
    <col min="14593" max="14593" width="12" customWidth="1"/>
    <col min="14594" max="14594" width="24.42578125" customWidth="1"/>
    <col min="14595" max="14595" width="14" customWidth="1"/>
    <col min="14597" max="14597" width="13.140625" customWidth="1"/>
    <col min="14599" max="14599" width="13.140625" customWidth="1"/>
    <col min="14601" max="14601" width="13.7109375" customWidth="1"/>
    <col min="14603" max="14603" width="14.42578125" customWidth="1"/>
    <col min="14605" max="14605" width="11.85546875" customWidth="1"/>
    <col min="14606" max="14606" width="12.5703125" customWidth="1"/>
    <col min="14608" max="14608" width="14.85546875" customWidth="1"/>
    <col min="14610" max="14610" width="13.28515625" customWidth="1"/>
    <col min="14611" max="14611" width="18" customWidth="1"/>
    <col min="14849" max="14849" width="12" customWidth="1"/>
    <col min="14850" max="14850" width="24.42578125" customWidth="1"/>
    <col min="14851" max="14851" width="14" customWidth="1"/>
    <col min="14853" max="14853" width="13.140625" customWidth="1"/>
    <col min="14855" max="14855" width="13.140625" customWidth="1"/>
    <col min="14857" max="14857" width="13.7109375" customWidth="1"/>
    <col min="14859" max="14859" width="14.42578125" customWidth="1"/>
    <col min="14861" max="14861" width="11.85546875" customWidth="1"/>
    <col min="14862" max="14862" width="12.5703125" customWidth="1"/>
    <col min="14864" max="14864" width="14.85546875" customWidth="1"/>
    <col min="14866" max="14866" width="13.28515625" customWidth="1"/>
    <col min="14867" max="14867" width="18" customWidth="1"/>
    <col min="15105" max="15105" width="12" customWidth="1"/>
    <col min="15106" max="15106" width="24.42578125" customWidth="1"/>
    <col min="15107" max="15107" width="14" customWidth="1"/>
    <col min="15109" max="15109" width="13.140625" customWidth="1"/>
    <col min="15111" max="15111" width="13.140625" customWidth="1"/>
    <col min="15113" max="15113" width="13.7109375" customWidth="1"/>
    <col min="15115" max="15115" width="14.42578125" customWidth="1"/>
    <col min="15117" max="15117" width="11.85546875" customWidth="1"/>
    <col min="15118" max="15118" width="12.5703125" customWidth="1"/>
    <col min="15120" max="15120" width="14.85546875" customWidth="1"/>
    <col min="15122" max="15122" width="13.28515625" customWidth="1"/>
    <col min="15123" max="15123" width="18" customWidth="1"/>
    <col min="15361" max="15361" width="12" customWidth="1"/>
    <col min="15362" max="15362" width="24.42578125" customWidth="1"/>
    <col min="15363" max="15363" width="14" customWidth="1"/>
    <col min="15365" max="15365" width="13.140625" customWidth="1"/>
    <col min="15367" max="15367" width="13.140625" customWidth="1"/>
    <col min="15369" max="15369" width="13.7109375" customWidth="1"/>
    <col min="15371" max="15371" width="14.42578125" customWidth="1"/>
    <col min="15373" max="15373" width="11.85546875" customWidth="1"/>
    <col min="15374" max="15374" width="12.5703125" customWidth="1"/>
    <col min="15376" max="15376" width="14.85546875" customWidth="1"/>
    <col min="15378" max="15378" width="13.28515625" customWidth="1"/>
    <col min="15379" max="15379" width="18" customWidth="1"/>
    <col min="15617" max="15617" width="12" customWidth="1"/>
    <col min="15618" max="15618" width="24.42578125" customWidth="1"/>
    <col min="15619" max="15619" width="14" customWidth="1"/>
    <col min="15621" max="15621" width="13.140625" customWidth="1"/>
    <col min="15623" max="15623" width="13.140625" customWidth="1"/>
    <col min="15625" max="15625" width="13.7109375" customWidth="1"/>
    <col min="15627" max="15627" width="14.42578125" customWidth="1"/>
    <col min="15629" max="15629" width="11.85546875" customWidth="1"/>
    <col min="15630" max="15630" width="12.5703125" customWidth="1"/>
    <col min="15632" max="15632" width="14.85546875" customWidth="1"/>
    <col min="15634" max="15634" width="13.28515625" customWidth="1"/>
    <col min="15635" max="15635" width="18" customWidth="1"/>
    <col min="15873" max="15873" width="12" customWidth="1"/>
    <col min="15874" max="15874" width="24.42578125" customWidth="1"/>
    <col min="15875" max="15875" width="14" customWidth="1"/>
    <col min="15877" max="15877" width="13.140625" customWidth="1"/>
    <col min="15879" max="15879" width="13.140625" customWidth="1"/>
    <col min="15881" max="15881" width="13.7109375" customWidth="1"/>
    <col min="15883" max="15883" width="14.42578125" customWidth="1"/>
    <col min="15885" max="15885" width="11.85546875" customWidth="1"/>
    <col min="15886" max="15886" width="12.5703125" customWidth="1"/>
    <col min="15888" max="15888" width="14.85546875" customWidth="1"/>
    <col min="15890" max="15890" width="13.28515625" customWidth="1"/>
    <col min="15891" max="15891" width="18" customWidth="1"/>
    <col min="16129" max="16129" width="12" customWidth="1"/>
    <col min="16130" max="16130" width="24.42578125" customWidth="1"/>
    <col min="16131" max="16131" width="14" customWidth="1"/>
    <col min="16133" max="16133" width="13.140625" customWidth="1"/>
    <col min="16135" max="16135" width="13.140625" customWidth="1"/>
    <col min="16137" max="16137" width="13.7109375" customWidth="1"/>
    <col min="16139" max="16139" width="14.42578125" customWidth="1"/>
    <col min="16141" max="16141" width="11.85546875" customWidth="1"/>
    <col min="16142" max="16142" width="12.5703125" customWidth="1"/>
    <col min="16144" max="16144" width="14.85546875" customWidth="1"/>
    <col min="16146" max="16146" width="13.28515625" customWidth="1"/>
    <col min="16147" max="16147" width="18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1000</v>
      </c>
      <c r="B6">
        <v>0</v>
      </c>
      <c r="C6">
        <v>914.0695199999999</v>
      </c>
      <c r="D6">
        <v>1</v>
      </c>
      <c r="E6">
        <v>689.34669999999994</v>
      </c>
      <c r="F6">
        <v>0</v>
      </c>
      <c r="G6">
        <v>279.31777999999997</v>
      </c>
      <c r="H6">
        <v>1</v>
      </c>
      <c r="I6">
        <v>103.67972999999999</v>
      </c>
      <c r="J6">
        <v>0</v>
      </c>
      <c r="K6">
        <v>40.767398</v>
      </c>
      <c r="L6">
        <v>2</v>
      </c>
      <c r="M6">
        <v>18.409775999999997</v>
      </c>
      <c r="N6">
        <v>0</v>
      </c>
      <c r="O6">
        <v>8.5933022000000001</v>
      </c>
      <c r="P6" s="3">
        <f>(B6*C6)+(D6*E6)+(F6*G6)+(H6*I6)+(J6*K6)+(L6*M6)+(N6*O6)</f>
        <v>829.84598199999994</v>
      </c>
    </row>
    <row r="7" spans="1:19" x14ac:dyDescent="0.2">
      <c r="A7">
        <v>2000</v>
      </c>
      <c r="B7">
        <v>12</v>
      </c>
      <c r="C7">
        <v>914.0695199999999</v>
      </c>
      <c r="D7">
        <v>6</v>
      </c>
      <c r="E7">
        <v>689.34669999999994</v>
      </c>
      <c r="F7">
        <v>9</v>
      </c>
      <c r="G7">
        <v>279.31777999999997</v>
      </c>
      <c r="H7">
        <v>19</v>
      </c>
      <c r="I7">
        <v>103.67972999999999</v>
      </c>
      <c r="J7">
        <v>32</v>
      </c>
      <c r="K7">
        <v>40.767398</v>
      </c>
      <c r="L7">
        <v>33</v>
      </c>
      <c r="M7">
        <v>18.409775999999997</v>
      </c>
      <c r="N7">
        <v>26</v>
      </c>
      <c r="O7">
        <v>8.5933022000000001</v>
      </c>
      <c r="P7" s="3">
        <f t="shared" ref="P7:P21" si="0">(B7*C7)+(D7*E7)+(F7*G7)+(H7*I7)+(J7*K7)+(L7*M7)+(N7*O7)</f>
        <v>21724.194531199995</v>
      </c>
    </row>
    <row r="8" spans="1:19" x14ac:dyDescent="0.2">
      <c r="A8">
        <v>3000</v>
      </c>
      <c r="B8">
        <v>24</v>
      </c>
      <c r="C8">
        <v>914.0695199999999</v>
      </c>
      <c r="D8">
        <v>9</v>
      </c>
      <c r="E8">
        <v>689.34669999999994</v>
      </c>
      <c r="F8">
        <v>39</v>
      </c>
      <c r="G8">
        <v>279.31777999999997</v>
      </c>
      <c r="H8">
        <v>74</v>
      </c>
      <c r="I8">
        <v>103.67972999999999</v>
      </c>
      <c r="J8">
        <v>106</v>
      </c>
      <c r="K8">
        <v>40.767398</v>
      </c>
      <c r="L8">
        <v>119</v>
      </c>
      <c r="M8">
        <v>18.409775999999997</v>
      </c>
      <c r="N8">
        <v>94</v>
      </c>
      <c r="O8">
        <v>8.5933022000000001</v>
      </c>
      <c r="P8" s="3">
        <f t="shared" si="0"/>
        <v>54027.360158800002</v>
      </c>
    </row>
    <row r="9" spans="1:19" x14ac:dyDescent="0.2">
      <c r="A9">
        <v>4000</v>
      </c>
      <c r="B9">
        <v>19</v>
      </c>
      <c r="C9">
        <v>914.0695199999999</v>
      </c>
      <c r="D9">
        <v>18</v>
      </c>
      <c r="E9">
        <v>689.34669999999994</v>
      </c>
      <c r="F9">
        <v>23</v>
      </c>
      <c r="G9">
        <v>279.31777999999997</v>
      </c>
      <c r="H9">
        <v>48</v>
      </c>
      <c r="I9">
        <v>103.67972999999999</v>
      </c>
      <c r="J9">
        <v>91</v>
      </c>
      <c r="K9">
        <v>40.767398</v>
      </c>
      <c r="L9">
        <v>119</v>
      </c>
      <c r="M9">
        <v>18.409775999999997</v>
      </c>
      <c r="N9">
        <v>67</v>
      </c>
      <c r="O9">
        <v>8.5933022000000001</v>
      </c>
      <c r="P9" s="3">
        <f t="shared" si="0"/>
        <v>47652.845269399993</v>
      </c>
    </row>
    <row r="10" spans="1:19" x14ac:dyDescent="0.2">
      <c r="A10">
        <v>5000</v>
      </c>
      <c r="B10">
        <v>52</v>
      </c>
      <c r="C10">
        <v>914.0695199999999</v>
      </c>
      <c r="D10">
        <v>113</v>
      </c>
      <c r="E10">
        <v>689.34669999999994</v>
      </c>
      <c r="F10">
        <v>287</v>
      </c>
      <c r="G10">
        <v>279.31777999999997</v>
      </c>
      <c r="H10">
        <v>704</v>
      </c>
      <c r="I10">
        <v>103.67972999999999</v>
      </c>
      <c r="J10">
        <v>1196</v>
      </c>
      <c r="K10">
        <v>40.767398</v>
      </c>
      <c r="L10">
        <v>1212</v>
      </c>
      <c r="M10">
        <v>18.409775999999997</v>
      </c>
      <c r="N10">
        <v>712</v>
      </c>
      <c r="O10">
        <v>8.5933022000000001</v>
      </c>
      <c r="P10" s="3">
        <f t="shared" si="0"/>
        <v>355771.41260640003</v>
      </c>
    </row>
    <row r="11" spans="1:19" x14ac:dyDescent="0.2">
      <c r="A11">
        <v>10000</v>
      </c>
      <c r="B11">
        <v>10</v>
      </c>
      <c r="C11">
        <v>914.0695199999999</v>
      </c>
      <c r="D11">
        <v>48</v>
      </c>
      <c r="E11">
        <v>689.34669999999994</v>
      </c>
      <c r="F11">
        <v>96</v>
      </c>
      <c r="G11">
        <v>279.31777999999997</v>
      </c>
      <c r="H11">
        <v>289</v>
      </c>
      <c r="I11">
        <v>103.67972999999999</v>
      </c>
      <c r="J11">
        <v>500</v>
      </c>
      <c r="K11">
        <v>40.767398</v>
      </c>
      <c r="L11">
        <v>515</v>
      </c>
      <c r="M11">
        <v>18.409775999999997</v>
      </c>
      <c r="N11">
        <v>371</v>
      </c>
      <c r="O11">
        <v>8.5933022000000001</v>
      </c>
      <c r="P11" s="3">
        <f t="shared" si="0"/>
        <v>132060.1344062</v>
      </c>
    </row>
    <row r="12" spans="1:19" x14ac:dyDescent="0.2">
      <c r="A12">
        <v>15000</v>
      </c>
      <c r="B12">
        <v>6</v>
      </c>
      <c r="C12">
        <v>914.0695199999999</v>
      </c>
      <c r="D12">
        <v>22</v>
      </c>
      <c r="E12">
        <v>689.34669999999994</v>
      </c>
      <c r="F12">
        <v>54</v>
      </c>
      <c r="G12">
        <v>279.31777999999997</v>
      </c>
      <c r="H12">
        <v>160</v>
      </c>
      <c r="I12">
        <v>103.67972999999999</v>
      </c>
      <c r="J12">
        <v>279</v>
      </c>
      <c r="K12">
        <v>40.767398</v>
      </c>
      <c r="L12">
        <v>319</v>
      </c>
      <c r="M12">
        <v>18.409775999999997</v>
      </c>
      <c r="N12">
        <v>202</v>
      </c>
      <c r="O12">
        <v>8.5933022000000001</v>
      </c>
      <c r="P12" s="3">
        <f t="shared" si="0"/>
        <v>71304.631070399992</v>
      </c>
      <c r="Q12" s="3">
        <f t="shared" ref="Q12:Q19" si="1">Q13+P12</f>
        <v>226631.16206919996</v>
      </c>
      <c r="R12">
        <v>3349500</v>
      </c>
      <c r="S12">
        <f t="shared" ref="S12:S20" si="2">(Q12/R12)*100</f>
        <v>6.7661191840334372</v>
      </c>
    </row>
    <row r="13" spans="1:19" x14ac:dyDescent="0.2">
      <c r="A13">
        <v>20000</v>
      </c>
      <c r="B13">
        <v>4</v>
      </c>
      <c r="C13">
        <v>914.0695199999999</v>
      </c>
      <c r="D13">
        <v>10</v>
      </c>
      <c r="E13">
        <v>689.34669999999994</v>
      </c>
      <c r="F13">
        <v>34</v>
      </c>
      <c r="G13">
        <v>279.31777999999997</v>
      </c>
      <c r="H13">
        <v>102</v>
      </c>
      <c r="I13">
        <v>103.67972999999999</v>
      </c>
      <c r="J13">
        <v>204</v>
      </c>
      <c r="K13">
        <v>40.767398</v>
      </c>
      <c r="L13">
        <v>237</v>
      </c>
      <c r="M13">
        <v>18.409775999999997</v>
      </c>
      <c r="N13">
        <v>138</v>
      </c>
      <c r="O13">
        <v>8.5933022000000001</v>
      </c>
      <c r="P13" s="3">
        <f t="shared" si="0"/>
        <v>44487.423867599995</v>
      </c>
      <c r="Q13" s="3">
        <f t="shared" si="1"/>
        <v>155326.53099879995</v>
      </c>
      <c r="R13">
        <v>3349500</v>
      </c>
      <c r="S13">
        <f t="shared" si="2"/>
        <v>4.6373050007105521</v>
      </c>
    </row>
    <row r="14" spans="1:19" x14ac:dyDescent="0.2">
      <c r="A14">
        <v>25000</v>
      </c>
      <c r="B14">
        <v>0</v>
      </c>
      <c r="C14">
        <v>914.0695199999999</v>
      </c>
      <c r="D14">
        <v>7</v>
      </c>
      <c r="E14">
        <v>689.34669999999994</v>
      </c>
      <c r="F14">
        <v>19</v>
      </c>
      <c r="G14">
        <v>279.31777999999997</v>
      </c>
      <c r="H14">
        <v>58</v>
      </c>
      <c r="I14">
        <v>103.67972999999999</v>
      </c>
      <c r="J14">
        <v>126</v>
      </c>
      <c r="K14">
        <v>40.767398</v>
      </c>
      <c r="L14">
        <v>173</v>
      </c>
      <c r="M14">
        <v>18.409775999999997</v>
      </c>
      <c r="N14">
        <v>97</v>
      </c>
      <c r="O14">
        <v>8.5933022000000001</v>
      </c>
      <c r="P14" s="3">
        <f t="shared" si="0"/>
        <v>25301.022769399999</v>
      </c>
      <c r="Q14" s="3">
        <f t="shared" si="1"/>
        <v>110839.10713119997</v>
      </c>
      <c r="R14">
        <v>3349500</v>
      </c>
      <c r="S14">
        <f t="shared" si="2"/>
        <v>3.3091239627168223</v>
      </c>
    </row>
    <row r="15" spans="1:19" x14ac:dyDescent="0.2">
      <c r="A15">
        <v>30000</v>
      </c>
      <c r="B15">
        <v>0</v>
      </c>
      <c r="C15">
        <v>914.0695199999999</v>
      </c>
      <c r="D15">
        <v>6</v>
      </c>
      <c r="E15">
        <v>689.34669999999994</v>
      </c>
      <c r="F15">
        <v>21</v>
      </c>
      <c r="G15">
        <v>279.31777999999997</v>
      </c>
      <c r="H15">
        <v>84</v>
      </c>
      <c r="I15">
        <v>103.67972999999999</v>
      </c>
      <c r="J15">
        <v>166</v>
      </c>
      <c r="K15">
        <v>40.767398</v>
      </c>
      <c r="L15">
        <v>203</v>
      </c>
      <c r="M15">
        <v>18.409775999999997</v>
      </c>
      <c r="N15">
        <v>125</v>
      </c>
      <c r="O15">
        <v>8.5933022000000001</v>
      </c>
      <c r="P15" s="3">
        <f t="shared" si="0"/>
        <v>30289.586270999996</v>
      </c>
      <c r="Q15" s="3">
        <f t="shared" si="1"/>
        <v>85538.084361799978</v>
      </c>
      <c r="R15">
        <v>3349500</v>
      </c>
      <c r="S15">
        <f t="shared" si="2"/>
        <v>2.5537568103239283</v>
      </c>
    </row>
    <row r="16" spans="1:19" x14ac:dyDescent="0.2">
      <c r="A16">
        <v>40000</v>
      </c>
      <c r="B16">
        <v>1</v>
      </c>
      <c r="C16">
        <v>914.0695199999999</v>
      </c>
      <c r="D16">
        <v>5</v>
      </c>
      <c r="E16">
        <v>689.34669999999994</v>
      </c>
      <c r="F16">
        <v>12</v>
      </c>
      <c r="G16">
        <v>279.31777999999997</v>
      </c>
      <c r="H16">
        <v>50</v>
      </c>
      <c r="I16">
        <v>103.67972999999999</v>
      </c>
      <c r="J16">
        <v>88</v>
      </c>
      <c r="K16">
        <v>40.767398</v>
      </c>
      <c r="L16">
        <v>119</v>
      </c>
      <c r="M16">
        <v>18.409775999999997</v>
      </c>
      <c r="N16">
        <v>68</v>
      </c>
      <c r="O16">
        <v>8.5933022000000001</v>
      </c>
      <c r="P16" s="3">
        <f t="shared" si="0"/>
        <v>19259.241797599996</v>
      </c>
      <c r="Q16" s="3">
        <f t="shared" si="1"/>
        <v>55248.498090799985</v>
      </c>
      <c r="R16">
        <v>3349500</v>
      </c>
      <c r="S16">
        <f t="shared" si="2"/>
        <v>1.6494550855590384</v>
      </c>
    </row>
    <row r="17" spans="1:20" x14ac:dyDescent="0.2">
      <c r="A17">
        <v>50000</v>
      </c>
      <c r="B17">
        <v>2</v>
      </c>
      <c r="C17">
        <v>914.0695199999999</v>
      </c>
      <c r="D17">
        <v>3</v>
      </c>
      <c r="E17">
        <v>689.34669999999994</v>
      </c>
      <c r="F17">
        <v>12</v>
      </c>
      <c r="G17">
        <v>279.31777999999997</v>
      </c>
      <c r="H17">
        <v>28</v>
      </c>
      <c r="I17">
        <v>103.67972999999999</v>
      </c>
      <c r="J17">
        <v>53</v>
      </c>
      <c r="K17">
        <v>40.767398</v>
      </c>
      <c r="L17">
        <v>67</v>
      </c>
      <c r="M17">
        <v>18.409775999999997</v>
      </c>
      <c r="N17">
        <v>56</v>
      </c>
      <c r="O17">
        <v>8.5933022000000001</v>
      </c>
      <c r="P17" s="3">
        <f t="shared" si="0"/>
        <v>14026.376949199997</v>
      </c>
      <c r="Q17" s="3">
        <f t="shared" si="1"/>
        <v>35989.256293199993</v>
      </c>
      <c r="R17">
        <v>3349500</v>
      </c>
      <c r="S17">
        <f t="shared" si="2"/>
        <v>1.0744665261442004</v>
      </c>
    </row>
    <row r="18" spans="1:20" x14ac:dyDescent="0.2">
      <c r="A18">
        <v>60000</v>
      </c>
      <c r="B18">
        <v>0</v>
      </c>
      <c r="C18">
        <v>914.0695199999999</v>
      </c>
      <c r="D18">
        <v>2</v>
      </c>
      <c r="E18">
        <v>689.34669999999994</v>
      </c>
      <c r="F18">
        <v>9</v>
      </c>
      <c r="G18">
        <v>279.31777999999997</v>
      </c>
      <c r="H18">
        <v>9</v>
      </c>
      <c r="I18">
        <v>103.67972999999999</v>
      </c>
      <c r="J18">
        <v>21</v>
      </c>
      <c r="K18">
        <v>40.767398</v>
      </c>
      <c r="L18">
        <v>41</v>
      </c>
      <c r="M18">
        <v>18.409775999999997</v>
      </c>
      <c r="N18">
        <v>31</v>
      </c>
      <c r="O18">
        <v>8.5933022000000001</v>
      </c>
      <c r="P18" s="3">
        <f t="shared" si="0"/>
        <v>6702.9795321999991</v>
      </c>
      <c r="Q18" s="3">
        <f t="shared" si="1"/>
        <v>21962.879343999997</v>
      </c>
      <c r="R18">
        <v>3349500</v>
      </c>
      <c r="S18">
        <f t="shared" si="2"/>
        <v>0.65570620522466039</v>
      </c>
    </row>
    <row r="19" spans="1:20" x14ac:dyDescent="0.2">
      <c r="A19">
        <v>70000</v>
      </c>
      <c r="B19">
        <v>0</v>
      </c>
      <c r="C19">
        <v>914.0695199999999</v>
      </c>
      <c r="D19">
        <v>0</v>
      </c>
      <c r="E19">
        <v>689.34669999999994</v>
      </c>
      <c r="F19">
        <v>6</v>
      </c>
      <c r="G19">
        <v>279.31777999999997</v>
      </c>
      <c r="H19">
        <v>27</v>
      </c>
      <c r="I19">
        <v>103.67972999999999</v>
      </c>
      <c r="J19">
        <v>51</v>
      </c>
      <c r="K19">
        <v>40.767398</v>
      </c>
      <c r="L19">
        <v>59</v>
      </c>
      <c r="M19">
        <v>18.409775999999997</v>
      </c>
      <c r="N19">
        <v>53</v>
      </c>
      <c r="O19">
        <v>8.5933022000000001</v>
      </c>
      <c r="P19" s="3">
        <f t="shared" si="0"/>
        <v>8096.0184885999979</v>
      </c>
      <c r="Q19" s="3">
        <f t="shared" si="1"/>
        <v>15259.899811799998</v>
      </c>
      <c r="R19">
        <v>3349500</v>
      </c>
      <c r="S19">
        <f t="shared" si="2"/>
        <v>0.45558739548589333</v>
      </c>
    </row>
    <row r="20" spans="1:20" x14ac:dyDescent="0.2">
      <c r="A20" t="s">
        <v>4</v>
      </c>
      <c r="B20">
        <v>0</v>
      </c>
      <c r="C20">
        <v>914.0695199999999</v>
      </c>
      <c r="D20">
        <v>1</v>
      </c>
      <c r="E20">
        <v>689.34669999999994</v>
      </c>
      <c r="F20">
        <v>3</v>
      </c>
      <c r="G20">
        <v>279.31777999999997</v>
      </c>
      <c r="H20">
        <v>19</v>
      </c>
      <c r="I20">
        <v>103.67972999999999</v>
      </c>
      <c r="J20">
        <v>53</v>
      </c>
      <c r="K20">
        <v>40.767398</v>
      </c>
      <c r="L20">
        <v>65</v>
      </c>
      <c r="M20">
        <v>18.409775999999997</v>
      </c>
      <c r="N20">
        <v>36</v>
      </c>
      <c r="O20">
        <v>8.5933022000000001</v>
      </c>
      <c r="P20" s="3">
        <f t="shared" si="0"/>
        <v>7163.8813232000002</v>
      </c>
      <c r="Q20" s="3">
        <f>P20</f>
        <v>7163.8813232000002</v>
      </c>
      <c r="R20">
        <v>3349500</v>
      </c>
      <c r="S20">
        <f t="shared" si="2"/>
        <v>0.21387912593521424</v>
      </c>
    </row>
    <row r="21" spans="1:20" x14ac:dyDescent="0.2">
      <c r="A21" t="s">
        <v>3</v>
      </c>
      <c r="B21">
        <f t="shared" ref="B21:N21" si="3">SUM(B6:B20)</f>
        <v>130</v>
      </c>
      <c r="C21">
        <v>914.0695199999999</v>
      </c>
      <c r="D21">
        <f t="shared" si="3"/>
        <v>251</v>
      </c>
      <c r="E21">
        <v>689.34669999999994</v>
      </c>
      <c r="F21">
        <f t="shared" si="3"/>
        <v>624</v>
      </c>
      <c r="G21">
        <v>279.31777999999997</v>
      </c>
      <c r="H21">
        <f t="shared" si="3"/>
        <v>1672</v>
      </c>
      <c r="I21">
        <v>103.67972999999999</v>
      </c>
      <c r="J21">
        <f t="shared" si="3"/>
        <v>2966</v>
      </c>
      <c r="K21">
        <v>40.767398</v>
      </c>
      <c r="L21">
        <f t="shared" si="3"/>
        <v>3283</v>
      </c>
      <c r="M21">
        <v>18.409775999999997</v>
      </c>
      <c r="N21">
        <f t="shared" si="3"/>
        <v>2076</v>
      </c>
      <c r="O21">
        <v>8.5933022000000001</v>
      </c>
      <c r="P21" s="3">
        <f t="shared" si="0"/>
        <v>838696.9550231999</v>
      </c>
    </row>
    <row r="26" spans="1:20" x14ac:dyDescent="0.2">
      <c r="A26" s="19"/>
    </row>
    <row r="27" spans="1:20" x14ac:dyDescent="0.2">
      <c r="A27" s="19"/>
    </row>
    <row r="28" spans="1:20" ht="15" x14ac:dyDescent="0.25">
      <c r="A28" s="2" t="s">
        <v>24</v>
      </c>
    </row>
    <row r="29" spans="1:20" x14ac:dyDescent="0.2">
      <c r="G29" t="s">
        <v>25</v>
      </c>
    </row>
    <row r="31" spans="1:20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  <c r="T31" s="2"/>
    </row>
    <row r="32" spans="1:20" ht="15" x14ac:dyDescent="0.25">
      <c r="A32" s="5" t="s">
        <v>4</v>
      </c>
      <c r="B32" s="14">
        <v>5.0000000000000001E-4</v>
      </c>
      <c r="C32" s="4" t="s">
        <v>69</v>
      </c>
      <c r="K32" s="4">
        <v>2.120071944857528</v>
      </c>
      <c r="L32" s="4">
        <v>5504.123986477588</v>
      </c>
      <c r="M32" s="20">
        <f t="shared" ref="M32:M37" si="4">POWER(B32,1/K32)</f>
        <v>2.7730852408304914E-2</v>
      </c>
      <c r="N32" s="8">
        <f t="shared" ref="N32:N37" si="5">L32/M32</f>
        <v>198483.76477706819</v>
      </c>
      <c r="O32" s="5">
        <f t="shared" ref="O32:O37" si="6">R12</f>
        <v>3349500</v>
      </c>
      <c r="P32" s="8">
        <f>O32*(K32/(1-K32))*POWER(L32,K32)*(-1)*POWER(N32,1-K32)</f>
        <v>629186875.72078872</v>
      </c>
      <c r="Q32" s="9">
        <f t="shared" ref="Q32:Q37" si="7">B32*O32</f>
        <v>1674.75</v>
      </c>
      <c r="R32" s="8">
        <f t="shared" ref="R32:R37" si="8">P32/Q32</f>
        <v>375690.02879282803</v>
      </c>
      <c r="S32" s="4">
        <f t="shared" ref="S32:S37" si="9">P32*20.298*1.23</f>
        <v>15708619300.158098</v>
      </c>
      <c r="T32" s="2"/>
    </row>
    <row r="33" spans="1:20" ht="15" x14ac:dyDescent="0.25">
      <c r="A33" t="s">
        <v>4</v>
      </c>
      <c r="B33" s="14">
        <v>1E-3</v>
      </c>
      <c r="C33" s="4" t="s">
        <v>69</v>
      </c>
      <c r="K33" s="4">
        <v>2.120071944857528</v>
      </c>
      <c r="L33" s="4">
        <v>5504.123986477588</v>
      </c>
      <c r="M33" s="20">
        <f t="shared" si="4"/>
        <v>3.8455076685882245E-2</v>
      </c>
      <c r="N33" s="8">
        <f t="shared" si="5"/>
        <v>143131.27058457487</v>
      </c>
      <c r="O33" s="5">
        <f t="shared" si="6"/>
        <v>3349500</v>
      </c>
      <c r="P33" s="8">
        <f>O33*(K33/(1-K33))*POWER(L33,K33)*(POWER(N32,1-K33)-POWER(N33,1-K33))+P32</f>
        <v>907442652.1303072</v>
      </c>
      <c r="Q33" s="9">
        <f t="shared" si="7"/>
        <v>3349.5</v>
      </c>
      <c r="R33" s="8">
        <f t="shared" si="8"/>
        <v>270918.83926863928</v>
      </c>
      <c r="S33" s="4">
        <f t="shared" si="9"/>
        <v>22655703272.117397</v>
      </c>
      <c r="T33" s="2"/>
    </row>
    <row r="34" spans="1:20" ht="15" x14ac:dyDescent="0.25">
      <c r="A34" t="s">
        <v>59</v>
      </c>
      <c r="B34" s="14">
        <v>2.5000000000000001E-3</v>
      </c>
      <c r="C34">
        <f>S20/100</f>
        <v>2.1387912593521423E-3</v>
      </c>
      <c r="D34">
        <f>S19/100</f>
        <v>4.5558739548589335E-3</v>
      </c>
      <c r="E34">
        <v>100000</v>
      </c>
      <c r="F34">
        <v>70000</v>
      </c>
      <c r="G34">
        <f>D34/C34</f>
        <v>2.1301162209906104</v>
      </c>
      <c r="H34">
        <f>LN(G34)</f>
        <v>0.75617654207813823</v>
      </c>
      <c r="I34">
        <f>E34/F34</f>
        <v>1.4285714285714286</v>
      </c>
      <c r="J34">
        <f>LN(I34)</f>
        <v>0.35667494393873239</v>
      </c>
      <c r="K34" s="4">
        <f>H34/J34</f>
        <v>2.120071944857528</v>
      </c>
      <c r="L34" s="4">
        <f>F34*POWER(D34,1/K34)</f>
        <v>5504.123986477588</v>
      </c>
      <c r="M34" s="20">
        <f t="shared" si="4"/>
        <v>5.9245430985595586E-2</v>
      </c>
      <c r="N34" s="8">
        <f t="shared" si="5"/>
        <v>92903.771563680784</v>
      </c>
      <c r="O34" s="5">
        <f t="shared" si="6"/>
        <v>3349500</v>
      </c>
      <c r="P34" s="8">
        <f>O34*(K34/(1-K34))*POWER(L34,K34)*(POWER(N33,1-K34)-POWER(N34,1-K34))+P33</f>
        <v>1472509195.8650613</v>
      </c>
      <c r="Q34" s="9">
        <f t="shared" si="7"/>
        <v>8373.75</v>
      </c>
      <c r="R34" s="8">
        <f t="shared" si="8"/>
        <v>175848.23954202852</v>
      </c>
      <c r="S34" s="4">
        <f t="shared" si="9"/>
        <v>36763459738.932884</v>
      </c>
      <c r="T34" s="2"/>
    </row>
    <row r="35" spans="1:20" ht="15" x14ac:dyDescent="0.25">
      <c r="A35" t="s">
        <v>66</v>
      </c>
      <c r="B35" s="14">
        <v>5.0000000000000001E-3</v>
      </c>
      <c r="C35">
        <f>S19/100</f>
        <v>4.5558739548589335E-3</v>
      </c>
      <c r="D35">
        <f>S18/100</f>
        <v>6.5570620522466035E-3</v>
      </c>
      <c r="E35">
        <v>70000</v>
      </c>
      <c r="F35">
        <v>60000</v>
      </c>
      <c r="G35">
        <f>D35/C35</f>
        <v>1.4392544915017593</v>
      </c>
      <c r="H35">
        <f>LN(G35)</f>
        <v>0.36412526529273342</v>
      </c>
      <c r="I35">
        <f>E35/F35</f>
        <v>1.1666666666666667</v>
      </c>
      <c r="J35">
        <f>LN(I35)</f>
        <v>0.15415067982725836</v>
      </c>
      <c r="K35" s="4">
        <f>H35/J35</f>
        <v>2.3621385627411642</v>
      </c>
      <c r="L35" s="4">
        <f>F35*POWER(D35,1/K35)</f>
        <v>7142.7529662314746</v>
      </c>
      <c r="M35" s="20">
        <f t="shared" si="4"/>
        <v>0.10613778449207613</v>
      </c>
      <c r="N35" s="8">
        <f t="shared" si="5"/>
        <v>67296.985709784887</v>
      </c>
      <c r="O35" s="5">
        <f t="shared" si="6"/>
        <v>3349500</v>
      </c>
      <c r="P35" s="8">
        <f>O35*(K35/(1-K35))*POWER(L35,K35)*(POWER(N34,1-K35)-POWER(N35,1-K35))+P34</f>
        <v>2167248122.7035446</v>
      </c>
      <c r="Q35" s="9">
        <f t="shared" si="7"/>
        <v>16747.5</v>
      </c>
      <c r="R35" s="8">
        <f t="shared" si="8"/>
        <v>129407.26214082965</v>
      </c>
      <c r="S35" s="4">
        <f t="shared" si="9"/>
        <v>54108686945.402946</v>
      </c>
      <c r="T35" s="2"/>
    </row>
    <row r="36" spans="1:20" ht="15" x14ac:dyDescent="0.25">
      <c r="A36" t="s">
        <v>45</v>
      </c>
      <c r="B36" s="14">
        <v>0.01</v>
      </c>
      <c r="C36">
        <f>S18/100</f>
        <v>6.5570620522466035E-3</v>
      </c>
      <c r="D36">
        <f>S17/100</f>
        <v>1.0744665261442004E-2</v>
      </c>
      <c r="E36">
        <v>60000</v>
      </c>
      <c r="F36">
        <v>50000</v>
      </c>
      <c r="G36">
        <f>D36/C36</f>
        <v>1.6386401677807256</v>
      </c>
      <c r="H36">
        <f>LN(G36)</f>
        <v>0.49386673190048741</v>
      </c>
      <c r="I36">
        <f>E36/F36</f>
        <v>1.2</v>
      </c>
      <c r="J36">
        <f>LN(I36)</f>
        <v>0.18232155679395459</v>
      </c>
      <c r="K36" s="4">
        <f>H36/J36</f>
        <v>2.7087676333227919</v>
      </c>
      <c r="L36" s="4">
        <f>F36*POWER(D36,1/K36)</f>
        <v>9378.69456578879</v>
      </c>
      <c r="M36" s="20">
        <f t="shared" si="4"/>
        <v>0.18266563879583042</v>
      </c>
      <c r="N36" s="8">
        <f t="shared" si="5"/>
        <v>51343.507337313575</v>
      </c>
      <c r="O36" s="5">
        <f t="shared" si="6"/>
        <v>3349500</v>
      </c>
      <c r="P36" s="8">
        <f>O36*(K36/(1-K36))*POWER(L36,K36)*(POWER(N35,1-K36)-POWER(N36,1-K36))+P35</f>
        <v>3176479634.9412003</v>
      </c>
      <c r="Q36" s="9">
        <f t="shared" si="7"/>
        <v>33495</v>
      </c>
      <c r="R36" s="8">
        <f t="shared" si="8"/>
        <v>94834.442004514116</v>
      </c>
      <c r="S36" s="4">
        <f t="shared" si="9"/>
        <v>79305705864.94487</v>
      </c>
      <c r="T36" s="2"/>
    </row>
    <row r="37" spans="1:20" ht="15" x14ac:dyDescent="0.25">
      <c r="A37" t="s">
        <v>46</v>
      </c>
      <c r="B37" s="14">
        <v>0.02</v>
      </c>
      <c r="C37">
        <f>S16/100</f>
        <v>1.6494550855590383E-2</v>
      </c>
      <c r="D37">
        <f>S15/100</f>
        <v>2.5537568103239282E-2</v>
      </c>
      <c r="E37">
        <v>40000</v>
      </c>
      <c r="F37">
        <v>30000</v>
      </c>
      <c r="G37">
        <f>D37/C37</f>
        <v>1.5482427091722848</v>
      </c>
      <c r="H37">
        <f>LN(G37)</f>
        <v>0.43712055174842995</v>
      </c>
      <c r="I37">
        <f>E37/F37</f>
        <v>1.3333333333333333</v>
      </c>
      <c r="J37">
        <f>LN(I37)</f>
        <v>0.28768207245178085</v>
      </c>
      <c r="K37" s="4">
        <f>H37/J37</f>
        <v>1.5194570451438085</v>
      </c>
      <c r="L37" s="4">
        <f>F37*POWER(D37,1/K37)</f>
        <v>2684.3466686015208</v>
      </c>
      <c r="M37" s="20">
        <f t="shared" si="4"/>
        <v>7.6182841563454007E-2</v>
      </c>
      <c r="N37" s="8">
        <f t="shared" si="5"/>
        <v>35235.580788433603</v>
      </c>
      <c r="O37" s="5">
        <f t="shared" si="6"/>
        <v>3349500</v>
      </c>
      <c r="P37" s="8">
        <f>O37*(K37/(1-K37))*POWER(L37,K37)*(POWER(N36,1-K37)-POWER(N37,1-K37))+P36</f>
        <v>4402928257.3936548</v>
      </c>
      <c r="Q37" s="9">
        <f t="shared" si="7"/>
        <v>66990</v>
      </c>
      <c r="R37" s="8">
        <f t="shared" si="8"/>
        <v>65725.156850181447</v>
      </c>
      <c r="S37" s="4">
        <f t="shared" si="9"/>
        <v>109925884455.34897</v>
      </c>
      <c r="T37" s="2"/>
    </row>
    <row r="45" spans="1:20" ht="15.75" x14ac:dyDescent="0.25">
      <c r="A45" s="1" t="s">
        <v>51</v>
      </c>
    </row>
    <row r="47" spans="1:20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1000</v>
      </c>
      <c r="B50">
        <v>0</v>
      </c>
      <c r="C50">
        <v>2089.8275999999996</v>
      </c>
      <c r="D50">
        <v>1</v>
      </c>
      <c r="E50">
        <v>1105.6541999999999</v>
      </c>
      <c r="F50">
        <v>2</v>
      </c>
      <c r="G50">
        <v>452.88543999999996</v>
      </c>
      <c r="H50">
        <v>1</v>
      </c>
      <c r="I50">
        <v>197.04593999999997</v>
      </c>
      <c r="J50">
        <v>1</v>
      </c>
      <c r="K50">
        <v>80.157237999999992</v>
      </c>
      <c r="L50">
        <v>2</v>
      </c>
      <c r="M50">
        <v>28.886451999999998</v>
      </c>
      <c r="N50">
        <v>0</v>
      </c>
      <c r="O50">
        <v>10.3328498</v>
      </c>
      <c r="P50" s="3">
        <f>(B50*C50)+(D50*E50)+(F50*G50)+(H50*I50)+(J50*K50)+(L50*M50)+(N50*O50)</f>
        <v>2346.4011619999997</v>
      </c>
      <c r="Q50" s="3"/>
    </row>
    <row r="51" spans="1:19" x14ac:dyDescent="0.2">
      <c r="A51">
        <v>2000</v>
      </c>
      <c r="B51">
        <v>0</v>
      </c>
      <c r="C51">
        <v>2089.8275999999996</v>
      </c>
      <c r="D51">
        <v>5</v>
      </c>
      <c r="E51">
        <v>1105.6541999999999</v>
      </c>
      <c r="F51">
        <v>8</v>
      </c>
      <c r="G51">
        <v>452.88543999999996</v>
      </c>
      <c r="H51">
        <v>7</v>
      </c>
      <c r="I51">
        <v>197.04593999999997</v>
      </c>
      <c r="J51">
        <v>29</v>
      </c>
      <c r="K51">
        <v>80.157237999999992</v>
      </c>
      <c r="L51">
        <v>48</v>
      </c>
      <c r="M51">
        <v>28.886451999999998</v>
      </c>
      <c r="N51">
        <v>46</v>
      </c>
      <c r="O51">
        <v>10.3328498</v>
      </c>
      <c r="P51" s="3">
        <f t="shared" ref="P51:P65" si="10">(B51*C51)+(D51*E51)+(F51*G51)+(H51*I51)+(J51*K51)+(L51*M51)+(N51*O51)</f>
        <v>14717.096788799998</v>
      </c>
      <c r="Q51" s="3"/>
    </row>
    <row r="52" spans="1:19" x14ac:dyDescent="0.2">
      <c r="A52">
        <v>3000</v>
      </c>
      <c r="B52">
        <v>2</v>
      </c>
      <c r="C52">
        <v>2089.8275999999996</v>
      </c>
      <c r="D52">
        <v>5</v>
      </c>
      <c r="E52">
        <v>1105.6541999999999</v>
      </c>
      <c r="F52">
        <v>7</v>
      </c>
      <c r="G52">
        <v>452.88543999999996</v>
      </c>
      <c r="H52">
        <v>27</v>
      </c>
      <c r="I52">
        <v>197.04593999999997</v>
      </c>
      <c r="J52">
        <v>94</v>
      </c>
      <c r="K52">
        <v>80.157237999999992</v>
      </c>
      <c r="L52">
        <v>185</v>
      </c>
      <c r="M52">
        <v>28.886451999999998</v>
      </c>
      <c r="N52">
        <v>170</v>
      </c>
      <c r="O52">
        <v>10.3328498</v>
      </c>
      <c r="P52" s="3">
        <f t="shared" si="10"/>
        <v>32833.723118000002</v>
      </c>
      <c r="Q52" s="3"/>
    </row>
    <row r="53" spans="1:19" x14ac:dyDescent="0.2">
      <c r="A53">
        <v>4000</v>
      </c>
      <c r="B53">
        <v>1</v>
      </c>
      <c r="C53">
        <v>2089.8275999999996</v>
      </c>
      <c r="D53">
        <v>0</v>
      </c>
      <c r="E53">
        <v>1105.6541999999999</v>
      </c>
      <c r="F53">
        <v>17</v>
      </c>
      <c r="G53">
        <v>452.88543999999996</v>
      </c>
      <c r="H53">
        <v>28</v>
      </c>
      <c r="I53">
        <v>197.04593999999997</v>
      </c>
      <c r="J53">
        <v>80</v>
      </c>
      <c r="K53">
        <v>80.157237999999992</v>
      </c>
      <c r="L53">
        <v>140</v>
      </c>
      <c r="M53">
        <v>28.886451999999998</v>
      </c>
      <c r="N53">
        <v>124</v>
      </c>
      <c r="O53">
        <v>10.3328498</v>
      </c>
      <c r="P53" s="3">
        <f t="shared" si="10"/>
        <v>27044.122095199997</v>
      </c>
      <c r="Q53" s="3"/>
    </row>
    <row r="54" spans="1:19" x14ac:dyDescent="0.2">
      <c r="A54">
        <v>5000</v>
      </c>
      <c r="B54">
        <v>4</v>
      </c>
      <c r="C54">
        <v>2089.8275999999996</v>
      </c>
      <c r="D54">
        <v>19</v>
      </c>
      <c r="E54">
        <v>1105.6541999999999</v>
      </c>
      <c r="F54">
        <v>84</v>
      </c>
      <c r="G54">
        <v>452.88543999999996</v>
      </c>
      <c r="H54">
        <v>224</v>
      </c>
      <c r="I54">
        <v>197.04593999999997</v>
      </c>
      <c r="J54">
        <v>576</v>
      </c>
      <c r="K54">
        <v>80.157237999999992</v>
      </c>
      <c r="L54">
        <v>886</v>
      </c>
      <c r="M54">
        <v>28.886451999999998</v>
      </c>
      <c r="N54">
        <v>827</v>
      </c>
      <c r="O54">
        <v>10.3328498</v>
      </c>
      <c r="P54" s="3">
        <f t="shared" si="10"/>
        <v>191856.64006459998</v>
      </c>
      <c r="Q54" s="3">
        <f t="shared" ref="Q54:Q62" si="11">Q55+P54</f>
        <v>345564.78411559993</v>
      </c>
      <c r="R54">
        <v>3356800</v>
      </c>
      <c r="S54">
        <f>Q54/R54*100</f>
        <v>10.294470451489513</v>
      </c>
    </row>
    <row r="55" spans="1:19" x14ac:dyDescent="0.2">
      <c r="A55">
        <v>10000</v>
      </c>
      <c r="B55">
        <v>1</v>
      </c>
      <c r="C55">
        <v>2089.8275999999996</v>
      </c>
      <c r="D55">
        <v>7</v>
      </c>
      <c r="E55">
        <v>1105.6541999999999</v>
      </c>
      <c r="F55">
        <v>34</v>
      </c>
      <c r="G55">
        <v>452.88543999999996</v>
      </c>
      <c r="H55">
        <v>72</v>
      </c>
      <c r="I55">
        <v>197.04593999999997</v>
      </c>
      <c r="J55">
        <v>169</v>
      </c>
      <c r="K55">
        <v>80.157237999999992</v>
      </c>
      <c r="L55">
        <v>336</v>
      </c>
      <c r="M55">
        <v>28.886451999999998</v>
      </c>
      <c r="N55">
        <v>311</v>
      </c>
      <c r="O55">
        <v>10.3328498</v>
      </c>
      <c r="P55" s="3">
        <f t="shared" si="10"/>
        <v>65880.757021799989</v>
      </c>
      <c r="Q55" s="3">
        <f t="shared" si="11"/>
        <v>153708.14405099998</v>
      </c>
      <c r="R55">
        <v>3356800</v>
      </c>
      <c r="S55">
        <f>Q55/R55*100</f>
        <v>4.5790081044744992</v>
      </c>
    </row>
    <row r="56" spans="1:19" x14ac:dyDescent="0.2">
      <c r="A56">
        <v>15000</v>
      </c>
      <c r="B56">
        <v>1</v>
      </c>
      <c r="C56">
        <v>2089.8275999999996</v>
      </c>
      <c r="D56">
        <v>2</v>
      </c>
      <c r="E56">
        <v>1105.6541999999999</v>
      </c>
      <c r="F56">
        <v>9</v>
      </c>
      <c r="G56">
        <v>452.88543999999996</v>
      </c>
      <c r="H56">
        <v>38</v>
      </c>
      <c r="I56">
        <v>197.04593999999997</v>
      </c>
      <c r="J56">
        <v>110</v>
      </c>
      <c r="K56">
        <v>80.157237999999992</v>
      </c>
      <c r="L56">
        <v>193</v>
      </c>
      <c r="M56">
        <v>28.886451999999998</v>
      </c>
      <c r="N56">
        <v>163</v>
      </c>
      <c r="O56">
        <v>10.3328498</v>
      </c>
      <c r="P56" s="3">
        <f t="shared" si="10"/>
        <v>31941.486613399997</v>
      </c>
      <c r="Q56" s="3">
        <f t="shared" si="11"/>
        <v>87827.387029199992</v>
      </c>
      <c r="R56">
        <v>3356800</v>
      </c>
      <c r="S56">
        <f>Q56/R56*100</f>
        <v>2.6164021398117252</v>
      </c>
    </row>
    <row r="57" spans="1:19" x14ac:dyDescent="0.2">
      <c r="A57">
        <v>20000</v>
      </c>
      <c r="B57">
        <v>0</v>
      </c>
      <c r="C57">
        <v>2089.8275999999996</v>
      </c>
      <c r="D57">
        <v>0</v>
      </c>
      <c r="E57">
        <v>1105.6541999999999</v>
      </c>
      <c r="F57">
        <v>10</v>
      </c>
      <c r="G57">
        <v>452.88543999999996</v>
      </c>
      <c r="H57">
        <v>19</v>
      </c>
      <c r="I57">
        <v>197.04593999999997</v>
      </c>
      <c r="J57">
        <v>65</v>
      </c>
      <c r="K57">
        <v>80.157237999999992</v>
      </c>
      <c r="L57">
        <v>110</v>
      </c>
      <c r="M57">
        <v>28.886451999999998</v>
      </c>
      <c r="N57">
        <v>124</v>
      </c>
      <c r="O57">
        <v>10.3328498</v>
      </c>
      <c r="P57" s="3">
        <f t="shared" si="10"/>
        <v>17941.7308252</v>
      </c>
      <c r="Q57" s="3">
        <f t="shared" si="11"/>
        <v>55885.900415799995</v>
      </c>
      <c r="R57">
        <v>3356800</v>
      </c>
      <c r="S57">
        <f t="shared" ref="S57:S63" si="12">Q57/R57*100</f>
        <v>1.6648564232542895</v>
      </c>
    </row>
    <row r="58" spans="1:19" x14ac:dyDescent="0.2">
      <c r="A58">
        <v>25000</v>
      </c>
      <c r="B58">
        <v>0</v>
      </c>
      <c r="C58">
        <v>2089.8275999999996</v>
      </c>
      <c r="D58">
        <v>2</v>
      </c>
      <c r="E58">
        <v>1105.6541999999999</v>
      </c>
      <c r="F58">
        <v>2</v>
      </c>
      <c r="G58">
        <v>452.88543999999996</v>
      </c>
      <c r="H58">
        <v>12</v>
      </c>
      <c r="I58">
        <v>197.04593999999997</v>
      </c>
      <c r="J58">
        <v>22</v>
      </c>
      <c r="K58">
        <v>80.157237999999992</v>
      </c>
      <c r="L58">
        <v>74</v>
      </c>
      <c r="M58">
        <v>28.886451999999998</v>
      </c>
      <c r="N58">
        <v>72</v>
      </c>
      <c r="O58">
        <v>10.3328498</v>
      </c>
      <c r="P58" s="3">
        <f t="shared" si="10"/>
        <v>10126.652429599999</v>
      </c>
      <c r="Q58" s="3">
        <f t="shared" si="11"/>
        <v>37944.169590599995</v>
      </c>
      <c r="R58">
        <v>3356800</v>
      </c>
      <c r="S58">
        <f t="shared" si="12"/>
        <v>1.1303673019125355</v>
      </c>
    </row>
    <row r="59" spans="1:19" x14ac:dyDescent="0.2">
      <c r="A59">
        <v>30000</v>
      </c>
      <c r="B59">
        <v>0</v>
      </c>
      <c r="C59">
        <v>2089.8275999999996</v>
      </c>
      <c r="D59">
        <v>1</v>
      </c>
      <c r="E59">
        <v>1105.6541999999999</v>
      </c>
      <c r="F59">
        <v>2</v>
      </c>
      <c r="G59">
        <v>452.88543999999996</v>
      </c>
      <c r="H59">
        <v>9</v>
      </c>
      <c r="I59">
        <v>197.04593999999997</v>
      </c>
      <c r="J59">
        <v>40</v>
      </c>
      <c r="K59">
        <v>80.157237999999992</v>
      </c>
      <c r="L59">
        <v>81</v>
      </c>
      <c r="M59">
        <v>28.886451999999998</v>
      </c>
      <c r="N59">
        <v>74</v>
      </c>
      <c r="O59">
        <v>10.3328498</v>
      </c>
      <c r="P59" s="3">
        <f t="shared" si="10"/>
        <v>10095.561557199999</v>
      </c>
      <c r="Q59" s="3">
        <f t="shared" si="11"/>
        <v>27817.517161</v>
      </c>
      <c r="R59">
        <v>3356800</v>
      </c>
      <c r="S59">
        <f t="shared" si="12"/>
        <v>0.82869152648355571</v>
      </c>
    </row>
    <row r="60" spans="1:19" x14ac:dyDescent="0.2">
      <c r="A60">
        <v>40000</v>
      </c>
      <c r="B60">
        <v>0</v>
      </c>
      <c r="C60">
        <v>2089.8275999999996</v>
      </c>
      <c r="D60">
        <v>0</v>
      </c>
      <c r="E60">
        <v>1105.6541999999999</v>
      </c>
      <c r="F60">
        <v>1</v>
      </c>
      <c r="G60">
        <v>452.88543999999996</v>
      </c>
      <c r="H60">
        <v>4</v>
      </c>
      <c r="I60">
        <v>197.04593999999997</v>
      </c>
      <c r="J60">
        <v>18</v>
      </c>
      <c r="K60">
        <v>80.157237999999992</v>
      </c>
      <c r="L60">
        <v>40</v>
      </c>
      <c r="M60">
        <v>28.886451999999998</v>
      </c>
      <c r="N60">
        <v>42</v>
      </c>
      <c r="O60">
        <v>10.3328498</v>
      </c>
      <c r="P60" s="3">
        <f t="shared" si="10"/>
        <v>4273.3372555999995</v>
      </c>
      <c r="Q60" s="3">
        <f t="shared" si="11"/>
        <v>17721.955603800001</v>
      </c>
      <c r="R60">
        <v>3356800</v>
      </c>
      <c r="S60">
        <f t="shared" si="12"/>
        <v>0.52794195673856059</v>
      </c>
    </row>
    <row r="61" spans="1:19" x14ac:dyDescent="0.2">
      <c r="A61">
        <v>50000</v>
      </c>
      <c r="B61">
        <v>0</v>
      </c>
      <c r="C61">
        <v>2089.8275999999996</v>
      </c>
      <c r="D61">
        <v>1</v>
      </c>
      <c r="E61">
        <v>1105.6541999999999</v>
      </c>
      <c r="F61">
        <v>0</v>
      </c>
      <c r="G61">
        <v>452.88543999999996</v>
      </c>
      <c r="H61">
        <v>3</v>
      </c>
      <c r="I61">
        <v>197.04593999999997</v>
      </c>
      <c r="J61">
        <v>19</v>
      </c>
      <c r="K61">
        <v>80.157237999999992</v>
      </c>
      <c r="L61">
        <v>21</v>
      </c>
      <c r="M61">
        <v>28.886451999999998</v>
      </c>
      <c r="N61">
        <v>29</v>
      </c>
      <c r="O61">
        <v>10.3328498</v>
      </c>
      <c r="P61" s="3">
        <f t="shared" si="10"/>
        <v>4126.0476781999996</v>
      </c>
      <c r="Q61" s="3">
        <f t="shared" si="11"/>
        <v>13448.618348200001</v>
      </c>
      <c r="R61">
        <v>3356800</v>
      </c>
      <c r="S61">
        <f t="shared" si="12"/>
        <v>0.40063805851406109</v>
      </c>
    </row>
    <row r="62" spans="1:19" x14ac:dyDescent="0.2">
      <c r="A62">
        <v>60000</v>
      </c>
      <c r="B62">
        <v>0</v>
      </c>
      <c r="C62">
        <v>2089.8275999999996</v>
      </c>
      <c r="D62">
        <v>1</v>
      </c>
      <c r="E62">
        <v>1105.6541999999999</v>
      </c>
      <c r="F62">
        <v>3</v>
      </c>
      <c r="G62">
        <v>452.88543999999996</v>
      </c>
      <c r="H62">
        <v>1</v>
      </c>
      <c r="I62">
        <v>197.04593999999997</v>
      </c>
      <c r="J62">
        <v>11</v>
      </c>
      <c r="K62">
        <v>80.157237999999992</v>
      </c>
      <c r="L62">
        <v>18</v>
      </c>
      <c r="M62">
        <v>28.886451999999998</v>
      </c>
      <c r="N62">
        <v>22</v>
      </c>
      <c r="O62">
        <v>10.3328498</v>
      </c>
      <c r="P62" s="3">
        <f t="shared" si="10"/>
        <v>4290.3649095999999</v>
      </c>
      <c r="Q62" s="3">
        <f t="shared" si="11"/>
        <v>9322.570670000001</v>
      </c>
      <c r="R62">
        <v>3356800</v>
      </c>
      <c r="S62">
        <f t="shared" si="12"/>
        <v>0.27772195751906581</v>
      </c>
    </row>
    <row r="63" spans="1:19" x14ac:dyDescent="0.2">
      <c r="A63">
        <v>70000</v>
      </c>
      <c r="B63">
        <v>0</v>
      </c>
      <c r="C63">
        <v>2089.8275999999996</v>
      </c>
      <c r="D63">
        <v>0</v>
      </c>
      <c r="E63">
        <v>1105.6541999999999</v>
      </c>
      <c r="F63">
        <v>1</v>
      </c>
      <c r="G63">
        <v>452.88543999999996</v>
      </c>
      <c r="H63">
        <v>2</v>
      </c>
      <c r="I63">
        <v>197.04593999999997</v>
      </c>
      <c r="J63">
        <v>9</v>
      </c>
      <c r="K63">
        <v>80.157237999999992</v>
      </c>
      <c r="L63">
        <v>23</v>
      </c>
      <c r="M63">
        <v>28.886451999999998</v>
      </c>
      <c r="N63">
        <v>21</v>
      </c>
      <c r="O63">
        <v>10.3328498</v>
      </c>
      <c r="P63" s="3">
        <f t="shared" si="10"/>
        <v>2449.7707037999999</v>
      </c>
      <c r="Q63" s="3">
        <f>P64+P63</f>
        <v>5032.2057604000001</v>
      </c>
      <c r="R63">
        <v>3356800</v>
      </c>
      <c r="S63">
        <f t="shared" si="12"/>
        <v>0.14991080077454719</v>
      </c>
    </row>
    <row r="64" spans="1:19" x14ac:dyDescent="0.2">
      <c r="A64" t="s">
        <v>4</v>
      </c>
      <c r="B64">
        <v>0</v>
      </c>
      <c r="C64">
        <v>2089.8275999999996</v>
      </c>
      <c r="D64">
        <v>0</v>
      </c>
      <c r="E64">
        <v>1105.6541999999999</v>
      </c>
      <c r="F64">
        <v>2</v>
      </c>
      <c r="G64">
        <v>452.88543999999996</v>
      </c>
      <c r="H64">
        <v>4</v>
      </c>
      <c r="I64">
        <v>197.04593999999997</v>
      </c>
      <c r="J64">
        <v>4</v>
      </c>
      <c r="K64">
        <v>80.157237999999992</v>
      </c>
      <c r="L64">
        <v>10</v>
      </c>
      <c r="M64">
        <v>28.886451999999998</v>
      </c>
      <c r="N64">
        <v>27</v>
      </c>
      <c r="O64">
        <v>10.3328498</v>
      </c>
      <c r="P64" s="3">
        <f t="shared" si="10"/>
        <v>2582.4350566000003</v>
      </c>
      <c r="Q64" s="3">
        <f>P64</f>
        <v>2582.4350566000003</v>
      </c>
      <c r="R64">
        <v>3356800</v>
      </c>
      <c r="S64">
        <f>Q64/R64*100</f>
        <v>7.6931454260009538E-2</v>
      </c>
    </row>
    <row r="65" spans="1:19" x14ac:dyDescent="0.2">
      <c r="A65" t="s">
        <v>3</v>
      </c>
      <c r="B65">
        <v>9</v>
      </c>
      <c r="C65">
        <v>2089.8275999999996</v>
      </c>
      <c r="D65">
        <v>44</v>
      </c>
      <c r="E65">
        <v>1105.6541999999999</v>
      </c>
      <c r="F65">
        <v>182</v>
      </c>
      <c r="G65">
        <v>452.88543999999996</v>
      </c>
      <c r="H65">
        <v>451</v>
      </c>
      <c r="I65">
        <v>197.04593999999997</v>
      </c>
      <c r="J65">
        <v>1247</v>
      </c>
      <c r="K65">
        <v>80.157237999999992</v>
      </c>
      <c r="L65">
        <v>2167</v>
      </c>
      <c r="M65">
        <v>28.886451999999998</v>
      </c>
      <c r="N65">
        <v>2052</v>
      </c>
      <c r="O65">
        <v>10.3328498</v>
      </c>
      <c r="P65" s="3">
        <f t="shared" si="10"/>
        <v>422506.12727959995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4</v>
      </c>
      <c r="B73" s="14">
        <v>5.0000000000000001E-4</v>
      </c>
      <c r="C73" s="27" t="s">
        <v>87</v>
      </c>
      <c r="D73" s="5"/>
      <c r="E73" s="5"/>
      <c r="F73" s="5"/>
      <c r="G73" s="5"/>
      <c r="H73" s="5"/>
      <c r="I73" s="5"/>
      <c r="J73" s="5"/>
      <c r="K73" s="4">
        <v>1.8704022978849617</v>
      </c>
      <c r="L73" s="4">
        <v>2163.580710337179</v>
      </c>
      <c r="M73" s="7">
        <f t="shared" ref="M73:M78" si="13">POWER(B73,1/K73)</f>
        <v>1.7183949998951155E-2</v>
      </c>
      <c r="N73" s="8">
        <f t="shared" ref="N73:N78" si="14">L73/M73</f>
        <v>125907.06505019136</v>
      </c>
      <c r="O73">
        <f t="shared" ref="O73:O78" si="15">R54</f>
        <v>3356800</v>
      </c>
      <c r="P73" s="8">
        <f>O73*(K73/(1-K73))*POWER(L73,K73)*(-1)*POWER(N73,1-K73)</f>
        <v>454109481.49529016</v>
      </c>
      <c r="Q73" s="9">
        <f t="shared" ref="Q73:Q78" si="16">B73*O73</f>
        <v>1678.4</v>
      </c>
      <c r="R73" s="4">
        <f t="shared" ref="R73:R78" si="17">P73/Q73</f>
        <v>270560.93988041597</v>
      </c>
      <c r="S73" s="3">
        <f t="shared" ref="S73:S78" si="18">20.298*P73*1.23</f>
        <v>11337542534.13142</v>
      </c>
    </row>
    <row r="74" spans="1:19" x14ac:dyDescent="0.2">
      <c r="A74" t="s">
        <v>59</v>
      </c>
      <c r="B74" s="14">
        <v>1E-3</v>
      </c>
      <c r="C74" s="5">
        <f>S64/100</f>
        <v>7.6931454260009539E-4</v>
      </c>
      <c r="D74" s="5">
        <f>S63/100</f>
        <v>1.4991080077454719E-3</v>
      </c>
      <c r="E74" s="5">
        <v>100000</v>
      </c>
      <c r="F74" s="5">
        <v>70000</v>
      </c>
      <c r="G74" s="5">
        <f>D74/C74</f>
        <v>1.9486281939749281</v>
      </c>
      <c r="H74" s="5">
        <f>LN(G74)</f>
        <v>0.66712563474099495</v>
      </c>
      <c r="I74" s="5">
        <f>E74/F74</f>
        <v>1.4285714285714286</v>
      </c>
      <c r="J74" s="5">
        <f>LN(I74)</f>
        <v>0.35667494393873239</v>
      </c>
      <c r="K74" s="4">
        <f>H74/J74</f>
        <v>1.8704022978849617</v>
      </c>
      <c r="L74" s="4">
        <f>F74*(D74^(1/K74))</f>
        <v>2163.580710337179</v>
      </c>
      <c r="M74" s="7">
        <f t="shared" si="13"/>
        <v>2.489241216441733E-2</v>
      </c>
      <c r="N74" s="8">
        <f t="shared" si="14"/>
        <v>86917.278086449485</v>
      </c>
      <c r="O74">
        <f t="shared" si="15"/>
        <v>3356800</v>
      </c>
      <c r="P74" s="8">
        <f>O74*(K74/(1-K74))*POWER(L74,K74)*(POWER(N73,1-K74)-POWER(N74,1-K74))+P73</f>
        <v>626969742.62858546</v>
      </c>
      <c r="Q74" s="9">
        <f t="shared" si="16"/>
        <v>3356.8</v>
      </c>
      <c r="R74" s="4">
        <f t="shared" si="17"/>
        <v>186776.01961051757</v>
      </c>
      <c r="S74" s="3">
        <f t="shared" si="18"/>
        <v>15653265158.126282</v>
      </c>
    </row>
    <row r="75" spans="1:19" x14ac:dyDescent="0.2">
      <c r="A75" t="s">
        <v>66</v>
      </c>
      <c r="B75" s="14">
        <v>2.5000000000000001E-3</v>
      </c>
      <c r="C75" s="5">
        <f>S63/100</f>
        <v>1.4991080077454719E-3</v>
      </c>
      <c r="D75" s="5">
        <f>S62/100</f>
        <v>2.7772195751906582E-3</v>
      </c>
      <c r="E75" s="5">
        <v>70000</v>
      </c>
      <c r="F75" s="5">
        <v>60000</v>
      </c>
      <c r="G75" s="5">
        <f>D75/C75</f>
        <v>1.8525813756190623</v>
      </c>
      <c r="H75" s="5">
        <f>LN(G75)</f>
        <v>0.61658000468300511</v>
      </c>
      <c r="I75" s="5">
        <f>E75/F75</f>
        <v>1.1666666666666667</v>
      </c>
      <c r="J75" s="5">
        <f>LN(I75)</f>
        <v>0.15415067982725836</v>
      </c>
      <c r="K75" s="4">
        <f>H75/J75</f>
        <v>3.9998526466049076</v>
      </c>
      <c r="L75" s="4">
        <f>F75*(D75^(1/K75))</f>
        <v>13773.054330554018</v>
      </c>
      <c r="M75" s="7">
        <f t="shared" si="13"/>
        <v>0.22359445925534202</v>
      </c>
      <c r="N75" s="8">
        <f t="shared" si="14"/>
        <v>61598.370444525935</v>
      </c>
      <c r="O75">
        <f t="shared" si="15"/>
        <v>3356800</v>
      </c>
      <c r="P75" s="8">
        <f>O75*(K75/(1-K75))*POWER(L75,K75)*(POWER(N74,1-K75)-POWER(N75,1-K75))+P74</f>
        <v>1070870613.6818283</v>
      </c>
      <c r="Q75" s="9">
        <f t="shared" si="16"/>
        <v>8392</v>
      </c>
      <c r="R75" s="4">
        <f t="shared" si="17"/>
        <v>127606.12651118069</v>
      </c>
      <c r="S75" s="3">
        <f t="shared" si="18"/>
        <v>26735934011.311909</v>
      </c>
    </row>
    <row r="76" spans="1:19" x14ac:dyDescent="0.2">
      <c r="A76" t="s">
        <v>65</v>
      </c>
      <c r="B76" s="14">
        <v>5.0000000000000001E-3</v>
      </c>
      <c r="C76" s="5">
        <f>S61/100</f>
        <v>4.0063805851406108E-3</v>
      </c>
      <c r="D76" s="5">
        <f>S60/100</f>
        <v>5.279419567385606E-3</v>
      </c>
      <c r="E76" s="5">
        <v>50000</v>
      </c>
      <c r="F76" s="5">
        <v>40000</v>
      </c>
      <c r="G76" s="5">
        <f>D76/C76</f>
        <v>1.3177528832299679</v>
      </c>
      <c r="H76" s="5">
        <f>LN(G76)</f>
        <v>0.27592792474544908</v>
      </c>
      <c r="I76" s="5">
        <f>E76/F76</f>
        <v>1.25</v>
      </c>
      <c r="J76" s="5">
        <f>LN(I76)</f>
        <v>0.22314355131420976</v>
      </c>
      <c r="K76" s="4">
        <f>H76/J76</f>
        <v>1.236548952996241</v>
      </c>
      <c r="L76" s="4">
        <f>F76*(D76^(1/K76))</f>
        <v>575.85104952728364</v>
      </c>
      <c r="M76" s="7">
        <f t="shared" si="13"/>
        <v>1.3776906700255028E-2</v>
      </c>
      <c r="N76" s="8">
        <f t="shared" si="14"/>
        <v>41798.283319769012</v>
      </c>
      <c r="O76">
        <f t="shared" si="15"/>
        <v>3356800</v>
      </c>
      <c r="P76" s="8">
        <f>O76*(K76/(1-K76))*POWER(L76,K76)*(POWER(N75,1-K76)-POWER(N76,1-K76))+P75</f>
        <v>1392299093.0340743</v>
      </c>
      <c r="Q76" s="9">
        <f t="shared" si="16"/>
        <v>16784</v>
      </c>
      <c r="R76" s="4">
        <f t="shared" si="17"/>
        <v>82953.94977562406</v>
      </c>
      <c r="S76" s="3">
        <f t="shared" si="18"/>
        <v>34760890998.198936</v>
      </c>
    </row>
    <row r="77" spans="1:19" x14ac:dyDescent="0.2">
      <c r="A77" t="s">
        <v>47</v>
      </c>
      <c r="B77" s="14">
        <v>0.01</v>
      </c>
      <c r="C77" s="5">
        <f>S59/100</f>
        <v>8.2869152648355569E-3</v>
      </c>
      <c r="D77" s="5">
        <f>S58/100</f>
        <v>1.1303673019125356E-2</v>
      </c>
      <c r="E77" s="5">
        <v>30000</v>
      </c>
      <c r="F77" s="5">
        <v>25000</v>
      </c>
      <c r="G77" s="5">
        <f>D77/C77</f>
        <v>1.3640386872412003</v>
      </c>
      <c r="H77" s="5">
        <f>LN(G77)</f>
        <v>0.31044992209910466</v>
      </c>
      <c r="I77" s="5">
        <f>E77/F77</f>
        <v>1.2</v>
      </c>
      <c r="J77" s="5">
        <f>LN(I77)</f>
        <v>0.18232155679395459</v>
      </c>
      <c r="K77" s="4">
        <f>H77/J77</f>
        <v>1.7027603732560852</v>
      </c>
      <c r="L77" s="4">
        <f>F77*(D77^(1/K77))</f>
        <v>1797.3452381446446</v>
      </c>
      <c r="M77" s="7">
        <f t="shared" si="13"/>
        <v>6.6901615945382104E-2</v>
      </c>
      <c r="N77" s="8">
        <f t="shared" si="14"/>
        <v>26865.498131046363</v>
      </c>
      <c r="O77">
        <f t="shared" si="15"/>
        <v>3356800</v>
      </c>
      <c r="P77" s="8">
        <f>O77*(K77/(1-K77))*POWER(L77,K77)*(POWER(N76,1-K77)-POWER(N77,1-K77))+P76</f>
        <v>1975745293.1048584</v>
      </c>
      <c r="Q77" s="9">
        <f t="shared" si="16"/>
        <v>33568</v>
      </c>
      <c r="R77" s="4">
        <f t="shared" si="17"/>
        <v>58857.998483819661</v>
      </c>
      <c r="S77" s="3">
        <f t="shared" si="18"/>
        <v>49327523890.114166</v>
      </c>
    </row>
    <row r="78" spans="1:19" x14ac:dyDescent="0.2">
      <c r="A78" t="s">
        <v>48</v>
      </c>
      <c r="B78" s="14">
        <v>0.02</v>
      </c>
      <c r="C78" s="5">
        <f>S57/100</f>
        <v>1.6648564232542896E-2</v>
      </c>
      <c r="D78" s="5">
        <f>S56/100</f>
        <v>2.6164021398117254E-2</v>
      </c>
      <c r="E78" s="5">
        <v>20000</v>
      </c>
      <c r="F78" s="5">
        <v>15000</v>
      </c>
      <c r="G78" s="5">
        <f>D78/C78</f>
        <v>1.5715482147688462</v>
      </c>
      <c r="H78" s="5">
        <f>LN(G78)</f>
        <v>0.45206125751589193</v>
      </c>
      <c r="I78" s="5">
        <f>E78/F78</f>
        <v>1.3333333333333333</v>
      </c>
      <c r="J78" s="5">
        <f>LN(I78)</f>
        <v>0.28768207245178085</v>
      </c>
      <c r="K78" s="4">
        <f>H78/J78</f>
        <v>1.5713918273154235</v>
      </c>
      <c r="L78" s="4">
        <f>F78*(D78^(1/K78))</f>
        <v>1476.2244471921192</v>
      </c>
      <c r="M78" s="7">
        <f t="shared" si="13"/>
        <v>8.2949159339725229E-2</v>
      </c>
      <c r="N78" s="8">
        <f t="shared" si="14"/>
        <v>17796.737892738831</v>
      </c>
      <c r="O78">
        <f t="shared" si="15"/>
        <v>3356800</v>
      </c>
      <c r="P78" s="8">
        <f>O78*(K78/(1-K78))*POWER(L78,K78)*(POWER(N77,1-K78)-POWER(N78,1-K78))+P77</f>
        <v>2664713927.4599586</v>
      </c>
      <c r="Q78" s="9">
        <f t="shared" si="16"/>
        <v>67136</v>
      </c>
      <c r="R78" s="4">
        <f t="shared" si="17"/>
        <v>39691.282284615685</v>
      </c>
      <c r="S78" s="3">
        <f t="shared" si="18"/>
        <v>66528686858.486153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19">S32+S73</f>
        <v>27046161834.28952</v>
      </c>
      <c r="C85">
        <f t="shared" ref="C85:C90" si="20">880350000000*1.23</f>
        <v>1082830500000</v>
      </c>
      <c r="F85" s="10">
        <f t="shared" ref="F85:F90" si="21">B85/C85*100</f>
        <v>2.4977281148147861</v>
      </c>
    </row>
    <row r="86" spans="1:7" ht="15" x14ac:dyDescent="0.25">
      <c r="A86" s="18">
        <v>1E-3</v>
      </c>
      <c r="B86" s="3">
        <f t="shared" si="19"/>
        <v>38308968430.243683</v>
      </c>
      <c r="C86">
        <f t="shared" si="20"/>
        <v>1082830500000</v>
      </c>
      <c r="F86" s="10">
        <f t="shared" si="21"/>
        <v>3.5378545792941445</v>
      </c>
    </row>
    <row r="87" spans="1:7" ht="15" x14ac:dyDescent="0.25">
      <c r="A87" s="18">
        <v>2.5000000000000001E-3</v>
      </c>
      <c r="B87" s="3">
        <f t="shared" si="19"/>
        <v>63499393750.244797</v>
      </c>
      <c r="C87">
        <f t="shared" si="20"/>
        <v>1082830500000</v>
      </c>
      <c r="F87" s="10">
        <f t="shared" si="21"/>
        <v>5.8642043930462613</v>
      </c>
    </row>
    <row r="88" spans="1:7" ht="15" x14ac:dyDescent="0.25">
      <c r="A88" s="18">
        <v>5.0000000000000001E-3</v>
      </c>
      <c r="B88" s="3">
        <f t="shared" si="19"/>
        <v>88869577943.601883</v>
      </c>
      <c r="C88">
        <f t="shared" si="20"/>
        <v>1082830500000</v>
      </c>
      <c r="F88" s="10">
        <f t="shared" si="21"/>
        <v>8.2071550389097716</v>
      </c>
    </row>
    <row r="89" spans="1:7" ht="15" x14ac:dyDescent="0.25">
      <c r="A89" s="19">
        <v>0.01</v>
      </c>
      <c r="B89" s="3">
        <f t="shared" si="19"/>
        <v>128633229755.05904</v>
      </c>
      <c r="C89">
        <f t="shared" si="20"/>
        <v>1082830500000</v>
      </c>
      <c r="F89" s="10">
        <f t="shared" si="21"/>
        <v>11.879350438970739</v>
      </c>
    </row>
    <row r="90" spans="1:7" ht="15" x14ac:dyDescent="0.25">
      <c r="A90" s="19">
        <v>0.02</v>
      </c>
      <c r="B90" s="3">
        <f t="shared" si="19"/>
        <v>176454571313.83511</v>
      </c>
      <c r="C90">
        <f t="shared" si="20"/>
        <v>1082830500000</v>
      </c>
      <c r="F90" s="10">
        <f t="shared" si="21"/>
        <v>16.295677976731827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F64" workbookViewId="0">
      <selection activeCell="S82" sqref="S82"/>
    </sheetView>
  </sheetViews>
  <sheetFormatPr defaultRowHeight="12.75" x14ac:dyDescent="0.2"/>
  <cols>
    <col min="1" max="1" width="13.5703125" customWidth="1"/>
    <col min="2" max="2" width="27.85546875" customWidth="1"/>
    <col min="3" max="3" width="14.140625" customWidth="1"/>
    <col min="5" max="5" width="14.140625" customWidth="1"/>
    <col min="7" max="7" width="14" customWidth="1"/>
    <col min="9" max="9" width="12.85546875" customWidth="1"/>
    <col min="11" max="11" width="14.42578125" customWidth="1"/>
    <col min="13" max="14" width="14" customWidth="1"/>
    <col min="15" max="15" width="12.85546875" customWidth="1"/>
    <col min="16" max="16" width="14.28515625" customWidth="1"/>
    <col min="17" max="17" width="23.140625" customWidth="1"/>
    <col min="18" max="18" width="14.42578125" customWidth="1"/>
    <col min="19" max="19" width="14.85546875" customWidth="1"/>
    <col min="257" max="257" width="13.5703125" customWidth="1"/>
    <col min="258" max="258" width="27.85546875" customWidth="1"/>
    <col min="259" max="259" width="14.140625" customWidth="1"/>
    <col min="261" max="261" width="14.140625" customWidth="1"/>
    <col min="263" max="263" width="14" customWidth="1"/>
    <col min="265" max="265" width="12.85546875" customWidth="1"/>
    <col min="267" max="267" width="14.42578125" customWidth="1"/>
    <col min="269" max="270" width="14" customWidth="1"/>
    <col min="271" max="271" width="12.85546875" customWidth="1"/>
    <col min="272" max="272" width="14.28515625" customWidth="1"/>
    <col min="273" max="273" width="23.140625" customWidth="1"/>
    <col min="274" max="274" width="14.42578125" customWidth="1"/>
    <col min="275" max="275" width="14.85546875" customWidth="1"/>
    <col min="513" max="513" width="13.5703125" customWidth="1"/>
    <col min="514" max="514" width="27.85546875" customWidth="1"/>
    <col min="515" max="515" width="14.140625" customWidth="1"/>
    <col min="517" max="517" width="14.140625" customWidth="1"/>
    <col min="519" max="519" width="14" customWidth="1"/>
    <col min="521" max="521" width="12.85546875" customWidth="1"/>
    <col min="523" max="523" width="14.42578125" customWidth="1"/>
    <col min="525" max="526" width="14" customWidth="1"/>
    <col min="527" max="527" width="12.85546875" customWidth="1"/>
    <col min="528" max="528" width="14.28515625" customWidth="1"/>
    <col min="529" max="529" width="23.140625" customWidth="1"/>
    <col min="530" max="530" width="14.42578125" customWidth="1"/>
    <col min="531" max="531" width="14.85546875" customWidth="1"/>
    <col min="769" max="769" width="13.5703125" customWidth="1"/>
    <col min="770" max="770" width="27.85546875" customWidth="1"/>
    <col min="771" max="771" width="14.140625" customWidth="1"/>
    <col min="773" max="773" width="14.140625" customWidth="1"/>
    <col min="775" max="775" width="14" customWidth="1"/>
    <col min="777" max="777" width="12.85546875" customWidth="1"/>
    <col min="779" max="779" width="14.42578125" customWidth="1"/>
    <col min="781" max="782" width="14" customWidth="1"/>
    <col min="783" max="783" width="12.85546875" customWidth="1"/>
    <col min="784" max="784" width="14.28515625" customWidth="1"/>
    <col min="785" max="785" width="23.140625" customWidth="1"/>
    <col min="786" max="786" width="14.42578125" customWidth="1"/>
    <col min="787" max="787" width="14.85546875" customWidth="1"/>
    <col min="1025" max="1025" width="13.5703125" customWidth="1"/>
    <col min="1026" max="1026" width="27.85546875" customWidth="1"/>
    <col min="1027" max="1027" width="14.140625" customWidth="1"/>
    <col min="1029" max="1029" width="14.140625" customWidth="1"/>
    <col min="1031" max="1031" width="14" customWidth="1"/>
    <col min="1033" max="1033" width="12.85546875" customWidth="1"/>
    <col min="1035" max="1035" width="14.42578125" customWidth="1"/>
    <col min="1037" max="1038" width="14" customWidth="1"/>
    <col min="1039" max="1039" width="12.85546875" customWidth="1"/>
    <col min="1040" max="1040" width="14.28515625" customWidth="1"/>
    <col min="1041" max="1041" width="23.140625" customWidth="1"/>
    <col min="1042" max="1042" width="14.42578125" customWidth="1"/>
    <col min="1043" max="1043" width="14.85546875" customWidth="1"/>
    <col min="1281" max="1281" width="13.5703125" customWidth="1"/>
    <col min="1282" max="1282" width="27.85546875" customWidth="1"/>
    <col min="1283" max="1283" width="14.140625" customWidth="1"/>
    <col min="1285" max="1285" width="14.140625" customWidth="1"/>
    <col min="1287" max="1287" width="14" customWidth="1"/>
    <col min="1289" max="1289" width="12.85546875" customWidth="1"/>
    <col min="1291" max="1291" width="14.42578125" customWidth="1"/>
    <col min="1293" max="1294" width="14" customWidth="1"/>
    <col min="1295" max="1295" width="12.85546875" customWidth="1"/>
    <col min="1296" max="1296" width="14.28515625" customWidth="1"/>
    <col min="1297" max="1297" width="23.140625" customWidth="1"/>
    <col min="1298" max="1298" width="14.42578125" customWidth="1"/>
    <col min="1299" max="1299" width="14.85546875" customWidth="1"/>
    <col min="1537" max="1537" width="13.5703125" customWidth="1"/>
    <col min="1538" max="1538" width="27.85546875" customWidth="1"/>
    <col min="1539" max="1539" width="14.140625" customWidth="1"/>
    <col min="1541" max="1541" width="14.140625" customWidth="1"/>
    <col min="1543" max="1543" width="14" customWidth="1"/>
    <col min="1545" max="1545" width="12.85546875" customWidth="1"/>
    <col min="1547" max="1547" width="14.42578125" customWidth="1"/>
    <col min="1549" max="1550" width="14" customWidth="1"/>
    <col min="1551" max="1551" width="12.85546875" customWidth="1"/>
    <col min="1552" max="1552" width="14.28515625" customWidth="1"/>
    <col min="1553" max="1553" width="23.140625" customWidth="1"/>
    <col min="1554" max="1554" width="14.42578125" customWidth="1"/>
    <col min="1555" max="1555" width="14.85546875" customWidth="1"/>
    <col min="1793" max="1793" width="13.5703125" customWidth="1"/>
    <col min="1794" max="1794" width="27.85546875" customWidth="1"/>
    <col min="1795" max="1795" width="14.140625" customWidth="1"/>
    <col min="1797" max="1797" width="14.140625" customWidth="1"/>
    <col min="1799" max="1799" width="14" customWidth="1"/>
    <col min="1801" max="1801" width="12.85546875" customWidth="1"/>
    <col min="1803" max="1803" width="14.42578125" customWidth="1"/>
    <col min="1805" max="1806" width="14" customWidth="1"/>
    <col min="1807" max="1807" width="12.85546875" customWidth="1"/>
    <col min="1808" max="1808" width="14.28515625" customWidth="1"/>
    <col min="1809" max="1809" width="23.140625" customWidth="1"/>
    <col min="1810" max="1810" width="14.42578125" customWidth="1"/>
    <col min="1811" max="1811" width="14.85546875" customWidth="1"/>
    <col min="2049" max="2049" width="13.5703125" customWidth="1"/>
    <col min="2050" max="2050" width="27.85546875" customWidth="1"/>
    <col min="2051" max="2051" width="14.140625" customWidth="1"/>
    <col min="2053" max="2053" width="14.140625" customWidth="1"/>
    <col min="2055" max="2055" width="14" customWidth="1"/>
    <col min="2057" max="2057" width="12.85546875" customWidth="1"/>
    <col min="2059" max="2059" width="14.42578125" customWidth="1"/>
    <col min="2061" max="2062" width="14" customWidth="1"/>
    <col min="2063" max="2063" width="12.85546875" customWidth="1"/>
    <col min="2064" max="2064" width="14.28515625" customWidth="1"/>
    <col min="2065" max="2065" width="23.140625" customWidth="1"/>
    <col min="2066" max="2066" width="14.42578125" customWidth="1"/>
    <col min="2067" max="2067" width="14.85546875" customWidth="1"/>
    <col min="2305" max="2305" width="13.5703125" customWidth="1"/>
    <col min="2306" max="2306" width="27.85546875" customWidth="1"/>
    <col min="2307" max="2307" width="14.140625" customWidth="1"/>
    <col min="2309" max="2309" width="14.140625" customWidth="1"/>
    <col min="2311" max="2311" width="14" customWidth="1"/>
    <col min="2313" max="2313" width="12.85546875" customWidth="1"/>
    <col min="2315" max="2315" width="14.42578125" customWidth="1"/>
    <col min="2317" max="2318" width="14" customWidth="1"/>
    <col min="2319" max="2319" width="12.85546875" customWidth="1"/>
    <col min="2320" max="2320" width="14.28515625" customWidth="1"/>
    <col min="2321" max="2321" width="23.140625" customWidth="1"/>
    <col min="2322" max="2322" width="14.42578125" customWidth="1"/>
    <col min="2323" max="2323" width="14.85546875" customWidth="1"/>
    <col min="2561" max="2561" width="13.5703125" customWidth="1"/>
    <col min="2562" max="2562" width="27.85546875" customWidth="1"/>
    <col min="2563" max="2563" width="14.140625" customWidth="1"/>
    <col min="2565" max="2565" width="14.140625" customWidth="1"/>
    <col min="2567" max="2567" width="14" customWidth="1"/>
    <col min="2569" max="2569" width="12.85546875" customWidth="1"/>
    <col min="2571" max="2571" width="14.42578125" customWidth="1"/>
    <col min="2573" max="2574" width="14" customWidth="1"/>
    <col min="2575" max="2575" width="12.85546875" customWidth="1"/>
    <col min="2576" max="2576" width="14.28515625" customWidth="1"/>
    <col min="2577" max="2577" width="23.140625" customWidth="1"/>
    <col min="2578" max="2578" width="14.42578125" customWidth="1"/>
    <col min="2579" max="2579" width="14.85546875" customWidth="1"/>
    <col min="2817" max="2817" width="13.5703125" customWidth="1"/>
    <col min="2818" max="2818" width="27.85546875" customWidth="1"/>
    <col min="2819" max="2819" width="14.140625" customWidth="1"/>
    <col min="2821" max="2821" width="14.140625" customWidth="1"/>
    <col min="2823" max="2823" width="14" customWidth="1"/>
    <col min="2825" max="2825" width="12.85546875" customWidth="1"/>
    <col min="2827" max="2827" width="14.42578125" customWidth="1"/>
    <col min="2829" max="2830" width="14" customWidth="1"/>
    <col min="2831" max="2831" width="12.85546875" customWidth="1"/>
    <col min="2832" max="2832" width="14.28515625" customWidth="1"/>
    <col min="2833" max="2833" width="23.140625" customWidth="1"/>
    <col min="2834" max="2834" width="14.42578125" customWidth="1"/>
    <col min="2835" max="2835" width="14.85546875" customWidth="1"/>
    <col min="3073" max="3073" width="13.5703125" customWidth="1"/>
    <col min="3074" max="3074" width="27.85546875" customWidth="1"/>
    <col min="3075" max="3075" width="14.140625" customWidth="1"/>
    <col min="3077" max="3077" width="14.140625" customWidth="1"/>
    <col min="3079" max="3079" width="14" customWidth="1"/>
    <col min="3081" max="3081" width="12.85546875" customWidth="1"/>
    <col min="3083" max="3083" width="14.42578125" customWidth="1"/>
    <col min="3085" max="3086" width="14" customWidth="1"/>
    <col min="3087" max="3087" width="12.85546875" customWidth="1"/>
    <col min="3088" max="3088" width="14.28515625" customWidth="1"/>
    <col min="3089" max="3089" width="23.140625" customWidth="1"/>
    <col min="3090" max="3090" width="14.42578125" customWidth="1"/>
    <col min="3091" max="3091" width="14.85546875" customWidth="1"/>
    <col min="3329" max="3329" width="13.5703125" customWidth="1"/>
    <col min="3330" max="3330" width="27.85546875" customWidth="1"/>
    <col min="3331" max="3331" width="14.140625" customWidth="1"/>
    <col min="3333" max="3333" width="14.140625" customWidth="1"/>
    <col min="3335" max="3335" width="14" customWidth="1"/>
    <col min="3337" max="3337" width="12.85546875" customWidth="1"/>
    <col min="3339" max="3339" width="14.42578125" customWidth="1"/>
    <col min="3341" max="3342" width="14" customWidth="1"/>
    <col min="3343" max="3343" width="12.85546875" customWidth="1"/>
    <col min="3344" max="3344" width="14.28515625" customWidth="1"/>
    <col min="3345" max="3345" width="23.140625" customWidth="1"/>
    <col min="3346" max="3346" width="14.42578125" customWidth="1"/>
    <col min="3347" max="3347" width="14.85546875" customWidth="1"/>
    <col min="3585" max="3585" width="13.5703125" customWidth="1"/>
    <col min="3586" max="3586" width="27.85546875" customWidth="1"/>
    <col min="3587" max="3587" width="14.140625" customWidth="1"/>
    <col min="3589" max="3589" width="14.140625" customWidth="1"/>
    <col min="3591" max="3591" width="14" customWidth="1"/>
    <col min="3593" max="3593" width="12.85546875" customWidth="1"/>
    <col min="3595" max="3595" width="14.42578125" customWidth="1"/>
    <col min="3597" max="3598" width="14" customWidth="1"/>
    <col min="3599" max="3599" width="12.85546875" customWidth="1"/>
    <col min="3600" max="3600" width="14.28515625" customWidth="1"/>
    <col min="3601" max="3601" width="23.140625" customWidth="1"/>
    <col min="3602" max="3602" width="14.42578125" customWidth="1"/>
    <col min="3603" max="3603" width="14.85546875" customWidth="1"/>
    <col min="3841" max="3841" width="13.5703125" customWidth="1"/>
    <col min="3842" max="3842" width="27.85546875" customWidth="1"/>
    <col min="3843" max="3843" width="14.140625" customWidth="1"/>
    <col min="3845" max="3845" width="14.140625" customWidth="1"/>
    <col min="3847" max="3847" width="14" customWidth="1"/>
    <col min="3849" max="3849" width="12.85546875" customWidth="1"/>
    <col min="3851" max="3851" width="14.42578125" customWidth="1"/>
    <col min="3853" max="3854" width="14" customWidth="1"/>
    <col min="3855" max="3855" width="12.85546875" customWidth="1"/>
    <col min="3856" max="3856" width="14.28515625" customWidth="1"/>
    <col min="3857" max="3857" width="23.140625" customWidth="1"/>
    <col min="3858" max="3858" width="14.42578125" customWidth="1"/>
    <col min="3859" max="3859" width="14.85546875" customWidth="1"/>
    <col min="4097" max="4097" width="13.5703125" customWidth="1"/>
    <col min="4098" max="4098" width="27.85546875" customWidth="1"/>
    <col min="4099" max="4099" width="14.140625" customWidth="1"/>
    <col min="4101" max="4101" width="14.140625" customWidth="1"/>
    <col min="4103" max="4103" width="14" customWidth="1"/>
    <col min="4105" max="4105" width="12.85546875" customWidth="1"/>
    <col min="4107" max="4107" width="14.42578125" customWidth="1"/>
    <col min="4109" max="4110" width="14" customWidth="1"/>
    <col min="4111" max="4111" width="12.85546875" customWidth="1"/>
    <col min="4112" max="4112" width="14.28515625" customWidth="1"/>
    <col min="4113" max="4113" width="23.140625" customWidth="1"/>
    <col min="4114" max="4114" width="14.42578125" customWidth="1"/>
    <col min="4115" max="4115" width="14.85546875" customWidth="1"/>
    <col min="4353" max="4353" width="13.5703125" customWidth="1"/>
    <col min="4354" max="4354" width="27.85546875" customWidth="1"/>
    <col min="4355" max="4355" width="14.140625" customWidth="1"/>
    <col min="4357" max="4357" width="14.140625" customWidth="1"/>
    <col min="4359" max="4359" width="14" customWidth="1"/>
    <col min="4361" max="4361" width="12.85546875" customWidth="1"/>
    <col min="4363" max="4363" width="14.42578125" customWidth="1"/>
    <col min="4365" max="4366" width="14" customWidth="1"/>
    <col min="4367" max="4367" width="12.85546875" customWidth="1"/>
    <col min="4368" max="4368" width="14.28515625" customWidth="1"/>
    <col min="4369" max="4369" width="23.140625" customWidth="1"/>
    <col min="4370" max="4370" width="14.42578125" customWidth="1"/>
    <col min="4371" max="4371" width="14.85546875" customWidth="1"/>
    <col min="4609" max="4609" width="13.5703125" customWidth="1"/>
    <col min="4610" max="4610" width="27.85546875" customWidth="1"/>
    <col min="4611" max="4611" width="14.140625" customWidth="1"/>
    <col min="4613" max="4613" width="14.140625" customWidth="1"/>
    <col min="4615" max="4615" width="14" customWidth="1"/>
    <col min="4617" max="4617" width="12.85546875" customWidth="1"/>
    <col min="4619" max="4619" width="14.42578125" customWidth="1"/>
    <col min="4621" max="4622" width="14" customWidth="1"/>
    <col min="4623" max="4623" width="12.85546875" customWidth="1"/>
    <col min="4624" max="4624" width="14.28515625" customWidth="1"/>
    <col min="4625" max="4625" width="23.140625" customWidth="1"/>
    <col min="4626" max="4626" width="14.42578125" customWidth="1"/>
    <col min="4627" max="4627" width="14.85546875" customWidth="1"/>
    <col min="4865" max="4865" width="13.5703125" customWidth="1"/>
    <col min="4866" max="4866" width="27.85546875" customWidth="1"/>
    <col min="4867" max="4867" width="14.140625" customWidth="1"/>
    <col min="4869" max="4869" width="14.140625" customWidth="1"/>
    <col min="4871" max="4871" width="14" customWidth="1"/>
    <col min="4873" max="4873" width="12.85546875" customWidth="1"/>
    <col min="4875" max="4875" width="14.42578125" customWidth="1"/>
    <col min="4877" max="4878" width="14" customWidth="1"/>
    <col min="4879" max="4879" width="12.85546875" customWidth="1"/>
    <col min="4880" max="4880" width="14.28515625" customWidth="1"/>
    <col min="4881" max="4881" width="23.140625" customWidth="1"/>
    <col min="4882" max="4882" width="14.42578125" customWidth="1"/>
    <col min="4883" max="4883" width="14.85546875" customWidth="1"/>
    <col min="5121" max="5121" width="13.5703125" customWidth="1"/>
    <col min="5122" max="5122" width="27.85546875" customWidth="1"/>
    <col min="5123" max="5123" width="14.140625" customWidth="1"/>
    <col min="5125" max="5125" width="14.140625" customWidth="1"/>
    <col min="5127" max="5127" width="14" customWidth="1"/>
    <col min="5129" max="5129" width="12.85546875" customWidth="1"/>
    <col min="5131" max="5131" width="14.42578125" customWidth="1"/>
    <col min="5133" max="5134" width="14" customWidth="1"/>
    <col min="5135" max="5135" width="12.85546875" customWidth="1"/>
    <col min="5136" max="5136" width="14.28515625" customWidth="1"/>
    <col min="5137" max="5137" width="23.140625" customWidth="1"/>
    <col min="5138" max="5138" width="14.42578125" customWidth="1"/>
    <col min="5139" max="5139" width="14.85546875" customWidth="1"/>
    <col min="5377" max="5377" width="13.5703125" customWidth="1"/>
    <col min="5378" max="5378" width="27.85546875" customWidth="1"/>
    <col min="5379" max="5379" width="14.140625" customWidth="1"/>
    <col min="5381" max="5381" width="14.140625" customWidth="1"/>
    <col min="5383" max="5383" width="14" customWidth="1"/>
    <col min="5385" max="5385" width="12.85546875" customWidth="1"/>
    <col min="5387" max="5387" width="14.42578125" customWidth="1"/>
    <col min="5389" max="5390" width="14" customWidth="1"/>
    <col min="5391" max="5391" width="12.85546875" customWidth="1"/>
    <col min="5392" max="5392" width="14.28515625" customWidth="1"/>
    <col min="5393" max="5393" width="23.140625" customWidth="1"/>
    <col min="5394" max="5394" width="14.42578125" customWidth="1"/>
    <col min="5395" max="5395" width="14.85546875" customWidth="1"/>
    <col min="5633" max="5633" width="13.5703125" customWidth="1"/>
    <col min="5634" max="5634" width="27.85546875" customWidth="1"/>
    <col min="5635" max="5635" width="14.140625" customWidth="1"/>
    <col min="5637" max="5637" width="14.140625" customWidth="1"/>
    <col min="5639" max="5639" width="14" customWidth="1"/>
    <col min="5641" max="5641" width="12.85546875" customWidth="1"/>
    <col min="5643" max="5643" width="14.42578125" customWidth="1"/>
    <col min="5645" max="5646" width="14" customWidth="1"/>
    <col min="5647" max="5647" width="12.85546875" customWidth="1"/>
    <col min="5648" max="5648" width="14.28515625" customWidth="1"/>
    <col min="5649" max="5649" width="23.140625" customWidth="1"/>
    <col min="5650" max="5650" width="14.42578125" customWidth="1"/>
    <col min="5651" max="5651" width="14.85546875" customWidth="1"/>
    <col min="5889" max="5889" width="13.5703125" customWidth="1"/>
    <col min="5890" max="5890" width="27.85546875" customWidth="1"/>
    <col min="5891" max="5891" width="14.140625" customWidth="1"/>
    <col min="5893" max="5893" width="14.140625" customWidth="1"/>
    <col min="5895" max="5895" width="14" customWidth="1"/>
    <col min="5897" max="5897" width="12.85546875" customWidth="1"/>
    <col min="5899" max="5899" width="14.42578125" customWidth="1"/>
    <col min="5901" max="5902" width="14" customWidth="1"/>
    <col min="5903" max="5903" width="12.85546875" customWidth="1"/>
    <col min="5904" max="5904" width="14.28515625" customWidth="1"/>
    <col min="5905" max="5905" width="23.140625" customWidth="1"/>
    <col min="5906" max="5906" width="14.42578125" customWidth="1"/>
    <col min="5907" max="5907" width="14.85546875" customWidth="1"/>
    <col min="6145" max="6145" width="13.5703125" customWidth="1"/>
    <col min="6146" max="6146" width="27.85546875" customWidth="1"/>
    <col min="6147" max="6147" width="14.140625" customWidth="1"/>
    <col min="6149" max="6149" width="14.140625" customWidth="1"/>
    <col min="6151" max="6151" width="14" customWidth="1"/>
    <col min="6153" max="6153" width="12.85546875" customWidth="1"/>
    <col min="6155" max="6155" width="14.42578125" customWidth="1"/>
    <col min="6157" max="6158" width="14" customWidth="1"/>
    <col min="6159" max="6159" width="12.85546875" customWidth="1"/>
    <col min="6160" max="6160" width="14.28515625" customWidth="1"/>
    <col min="6161" max="6161" width="23.140625" customWidth="1"/>
    <col min="6162" max="6162" width="14.42578125" customWidth="1"/>
    <col min="6163" max="6163" width="14.85546875" customWidth="1"/>
    <col min="6401" max="6401" width="13.5703125" customWidth="1"/>
    <col min="6402" max="6402" width="27.85546875" customWidth="1"/>
    <col min="6403" max="6403" width="14.140625" customWidth="1"/>
    <col min="6405" max="6405" width="14.140625" customWidth="1"/>
    <col min="6407" max="6407" width="14" customWidth="1"/>
    <col min="6409" max="6409" width="12.85546875" customWidth="1"/>
    <col min="6411" max="6411" width="14.42578125" customWidth="1"/>
    <col min="6413" max="6414" width="14" customWidth="1"/>
    <col min="6415" max="6415" width="12.85546875" customWidth="1"/>
    <col min="6416" max="6416" width="14.28515625" customWidth="1"/>
    <col min="6417" max="6417" width="23.140625" customWidth="1"/>
    <col min="6418" max="6418" width="14.42578125" customWidth="1"/>
    <col min="6419" max="6419" width="14.85546875" customWidth="1"/>
    <col min="6657" max="6657" width="13.5703125" customWidth="1"/>
    <col min="6658" max="6658" width="27.85546875" customWidth="1"/>
    <col min="6659" max="6659" width="14.140625" customWidth="1"/>
    <col min="6661" max="6661" width="14.140625" customWidth="1"/>
    <col min="6663" max="6663" width="14" customWidth="1"/>
    <col min="6665" max="6665" width="12.85546875" customWidth="1"/>
    <col min="6667" max="6667" width="14.42578125" customWidth="1"/>
    <col min="6669" max="6670" width="14" customWidth="1"/>
    <col min="6671" max="6671" width="12.85546875" customWidth="1"/>
    <col min="6672" max="6672" width="14.28515625" customWidth="1"/>
    <col min="6673" max="6673" width="23.140625" customWidth="1"/>
    <col min="6674" max="6674" width="14.42578125" customWidth="1"/>
    <col min="6675" max="6675" width="14.85546875" customWidth="1"/>
    <col min="6913" max="6913" width="13.5703125" customWidth="1"/>
    <col min="6914" max="6914" width="27.85546875" customWidth="1"/>
    <col min="6915" max="6915" width="14.140625" customWidth="1"/>
    <col min="6917" max="6917" width="14.140625" customWidth="1"/>
    <col min="6919" max="6919" width="14" customWidth="1"/>
    <col min="6921" max="6921" width="12.85546875" customWidth="1"/>
    <col min="6923" max="6923" width="14.42578125" customWidth="1"/>
    <col min="6925" max="6926" width="14" customWidth="1"/>
    <col min="6927" max="6927" width="12.85546875" customWidth="1"/>
    <col min="6928" max="6928" width="14.28515625" customWidth="1"/>
    <col min="6929" max="6929" width="23.140625" customWidth="1"/>
    <col min="6930" max="6930" width="14.42578125" customWidth="1"/>
    <col min="6931" max="6931" width="14.85546875" customWidth="1"/>
    <col min="7169" max="7169" width="13.5703125" customWidth="1"/>
    <col min="7170" max="7170" width="27.85546875" customWidth="1"/>
    <col min="7171" max="7171" width="14.140625" customWidth="1"/>
    <col min="7173" max="7173" width="14.140625" customWidth="1"/>
    <col min="7175" max="7175" width="14" customWidth="1"/>
    <col min="7177" max="7177" width="12.85546875" customWidth="1"/>
    <col min="7179" max="7179" width="14.42578125" customWidth="1"/>
    <col min="7181" max="7182" width="14" customWidth="1"/>
    <col min="7183" max="7183" width="12.85546875" customWidth="1"/>
    <col min="7184" max="7184" width="14.28515625" customWidth="1"/>
    <col min="7185" max="7185" width="23.140625" customWidth="1"/>
    <col min="7186" max="7186" width="14.42578125" customWidth="1"/>
    <col min="7187" max="7187" width="14.85546875" customWidth="1"/>
    <col min="7425" max="7425" width="13.5703125" customWidth="1"/>
    <col min="7426" max="7426" width="27.85546875" customWidth="1"/>
    <col min="7427" max="7427" width="14.140625" customWidth="1"/>
    <col min="7429" max="7429" width="14.140625" customWidth="1"/>
    <col min="7431" max="7431" width="14" customWidth="1"/>
    <col min="7433" max="7433" width="12.85546875" customWidth="1"/>
    <col min="7435" max="7435" width="14.42578125" customWidth="1"/>
    <col min="7437" max="7438" width="14" customWidth="1"/>
    <col min="7439" max="7439" width="12.85546875" customWidth="1"/>
    <col min="7440" max="7440" width="14.28515625" customWidth="1"/>
    <col min="7441" max="7441" width="23.140625" customWidth="1"/>
    <col min="7442" max="7442" width="14.42578125" customWidth="1"/>
    <col min="7443" max="7443" width="14.85546875" customWidth="1"/>
    <col min="7681" max="7681" width="13.5703125" customWidth="1"/>
    <col min="7682" max="7682" width="27.85546875" customWidth="1"/>
    <col min="7683" max="7683" width="14.140625" customWidth="1"/>
    <col min="7685" max="7685" width="14.140625" customWidth="1"/>
    <col min="7687" max="7687" width="14" customWidth="1"/>
    <col min="7689" max="7689" width="12.85546875" customWidth="1"/>
    <col min="7691" max="7691" width="14.42578125" customWidth="1"/>
    <col min="7693" max="7694" width="14" customWidth="1"/>
    <col min="7695" max="7695" width="12.85546875" customWidth="1"/>
    <col min="7696" max="7696" width="14.28515625" customWidth="1"/>
    <col min="7697" max="7697" width="23.140625" customWidth="1"/>
    <col min="7698" max="7698" width="14.42578125" customWidth="1"/>
    <col min="7699" max="7699" width="14.85546875" customWidth="1"/>
    <col min="7937" max="7937" width="13.5703125" customWidth="1"/>
    <col min="7938" max="7938" width="27.85546875" customWidth="1"/>
    <col min="7939" max="7939" width="14.140625" customWidth="1"/>
    <col min="7941" max="7941" width="14.140625" customWidth="1"/>
    <col min="7943" max="7943" width="14" customWidth="1"/>
    <col min="7945" max="7945" width="12.85546875" customWidth="1"/>
    <col min="7947" max="7947" width="14.42578125" customWidth="1"/>
    <col min="7949" max="7950" width="14" customWidth="1"/>
    <col min="7951" max="7951" width="12.85546875" customWidth="1"/>
    <col min="7952" max="7952" width="14.28515625" customWidth="1"/>
    <col min="7953" max="7953" width="23.140625" customWidth="1"/>
    <col min="7954" max="7954" width="14.42578125" customWidth="1"/>
    <col min="7955" max="7955" width="14.85546875" customWidth="1"/>
    <col min="8193" max="8193" width="13.5703125" customWidth="1"/>
    <col min="8194" max="8194" width="27.85546875" customWidth="1"/>
    <col min="8195" max="8195" width="14.140625" customWidth="1"/>
    <col min="8197" max="8197" width="14.140625" customWidth="1"/>
    <col min="8199" max="8199" width="14" customWidth="1"/>
    <col min="8201" max="8201" width="12.85546875" customWidth="1"/>
    <col min="8203" max="8203" width="14.42578125" customWidth="1"/>
    <col min="8205" max="8206" width="14" customWidth="1"/>
    <col min="8207" max="8207" width="12.85546875" customWidth="1"/>
    <col min="8208" max="8208" width="14.28515625" customWidth="1"/>
    <col min="8209" max="8209" width="23.140625" customWidth="1"/>
    <col min="8210" max="8210" width="14.42578125" customWidth="1"/>
    <col min="8211" max="8211" width="14.85546875" customWidth="1"/>
    <col min="8449" max="8449" width="13.5703125" customWidth="1"/>
    <col min="8450" max="8450" width="27.85546875" customWidth="1"/>
    <col min="8451" max="8451" width="14.140625" customWidth="1"/>
    <col min="8453" max="8453" width="14.140625" customWidth="1"/>
    <col min="8455" max="8455" width="14" customWidth="1"/>
    <col min="8457" max="8457" width="12.85546875" customWidth="1"/>
    <col min="8459" max="8459" width="14.42578125" customWidth="1"/>
    <col min="8461" max="8462" width="14" customWidth="1"/>
    <col min="8463" max="8463" width="12.85546875" customWidth="1"/>
    <col min="8464" max="8464" width="14.28515625" customWidth="1"/>
    <col min="8465" max="8465" width="23.140625" customWidth="1"/>
    <col min="8466" max="8466" width="14.42578125" customWidth="1"/>
    <col min="8467" max="8467" width="14.85546875" customWidth="1"/>
    <col min="8705" max="8705" width="13.5703125" customWidth="1"/>
    <col min="8706" max="8706" width="27.85546875" customWidth="1"/>
    <col min="8707" max="8707" width="14.140625" customWidth="1"/>
    <col min="8709" max="8709" width="14.140625" customWidth="1"/>
    <col min="8711" max="8711" width="14" customWidth="1"/>
    <col min="8713" max="8713" width="12.85546875" customWidth="1"/>
    <col min="8715" max="8715" width="14.42578125" customWidth="1"/>
    <col min="8717" max="8718" width="14" customWidth="1"/>
    <col min="8719" max="8719" width="12.85546875" customWidth="1"/>
    <col min="8720" max="8720" width="14.28515625" customWidth="1"/>
    <col min="8721" max="8721" width="23.140625" customWidth="1"/>
    <col min="8722" max="8722" width="14.42578125" customWidth="1"/>
    <col min="8723" max="8723" width="14.85546875" customWidth="1"/>
    <col min="8961" max="8961" width="13.5703125" customWidth="1"/>
    <col min="8962" max="8962" width="27.85546875" customWidth="1"/>
    <col min="8963" max="8963" width="14.140625" customWidth="1"/>
    <col min="8965" max="8965" width="14.140625" customWidth="1"/>
    <col min="8967" max="8967" width="14" customWidth="1"/>
    <col min="8969" max="8969" width="12.85546875" customWidth="1"/>
    <col min="8971" max="8971" width="14.42578125" customWidth="1"/>
    <col min="8973" max="8974" width="14" customWidth="1"/>
    <col min="8975" max="8975" width="12.85546875" customWidth="1"/>
    <col min="8976" max="8976" width="14.28515625" customWidth="1"/>
    <col min="8977" max="8977" width="23.140625" customWidth="1"/>
    <col min="8978" max="8978" width="14.42578125" customWidth="1"/>
    <col min="8979" max="8979" width="14.85546875" customWidth="1"/>
    <col min="9217" max="9217" width="13.5703125" customWidth="1"/>
    <col min="9218" max="9218" width="27.85546875" customWidth="1"/>
    <col min="9219" max="9219" width="14.140625" customWidth="1"/>
    <col min="9221" max="9221" width="14.140625" customWidth="1"/>
    <col min="9223" max="9223" width="14" customWidth="1"/>
    <col min="9225" max="9225" width="12.85546875" customWidth="1"/>
    <col min="9227" max="9227" width="14.42578125" customWidth="1"/>
    <col min="9229" max="9230" width="14" customWidth="1"/>
    <col min="9231" max="9231" width="12.85546875" customWidth="1"/>
    <col min="9232" max="9232" width="14.28515625" customWidth="1"/>
    <col min="9233" max="9233" width="23.140625" customWidth="1"/>
    <col min="9234" max="9234" width="14.42578125" customWidth="1"/>
    <col min="9235" max="9235" width="14.85546875" customWidth="1"/>
    <col min="9473" max="9473" width="13.5703125" customWidth="1"/>
    <col min="9474" max="9474" width="27.85546875" customWidth="1"/>
    <col min="9475" max="9475" width="14.140625" customWidth="1"/>
    <col min="9477" max="9477" width="14.140625" customWidth="1"/>
    <col min="9479" max="9479" width="14" customWidth="1"/>
    <col min="9481" max="9481" width="12.85546875" customWidth="1"/>
    <col min="9483" max="9483" width="14.42578125" customWidth="1"/>
    <col min="9485" max="9486" width="14" customWidth="1"/>
    <col min="9487" max="9487" width="12.85546875" customWidth="1"/>
    <col min="9488" max="9488" width="14.28515625" customWidth="1"/>
    <col min="9489" max="9489" width="23.140625" customWidth="1"/>
    <col min="9490" max="9490" width="14.42578125" customWidth="1"/>
    <col min="9491" max="9491" width="14.85546875" customWidth="1"/>
    <col min="9729" max="9729" width="13.5703125" customWidth="1"/>
    <col min="9730" max="9730" width="27.85546875" customWidth="1"/>
    <col min="9731" max="9731" width="14.140625" customWidth="1"/>
    <col min="9733" max="9733" width="14.140625" customWidth="1"/>
    <col min="9735" max="9735" width="14" customWidth="1"/>
    <col min="9737" max="9737" width="12.85546875" customWidth="1"/>
    <col min="9739" max="9739" width="14.42578125" customWidth="1"/>
    <col min="9741" max="9742" width="14" customWidth="1"/>
    <col min="9743" max="9743" width="12.85546875" customWidth="1"/>
    <col min="9744" max="9744" width="14.28515625" customWidth="1"/>
    <col min="9745" max="9745" width="23.140625" customWidth="1"/>
    <col min="9746" max="9746" width="14.42578125" customWidth="1"/>
    <col min="9747" max="9747" width="14.85546875" customWidth="1"/>
    <col min="9985" max="9985" width="13.5703125" customWidth="1"/>
    <col min="9986" max="9986" width="27.85546875" customWidth="1"/>
    <col min="9987" max="9987" width="14.140625" customWidth="1"/>
    <col min="9989" max="9989" width="14.140625" customWidth="1"/>
    <col min="9991" max="9991" width="14" customWidth="1"/>
    <col min="9993" max="9993" width="12.85546875" customWidth="1"/>
    <col min="9995" max="9995" width="14.42578125" customWidth="1"/>
    <col min="9997" max="9998" width="14" customWidth="1"/>
    <col min="9999" max="9999" width="12.85546875" customWidth="1"/>
    <col min="10000" max="10000" width="14.28515625" customWidth="1"/>
    <col min="10001" max="10001" width="23.140625" customWidth="1"/>
    <col min="10002" max="10002" width="14.42578125" customWidth="1"/>
    <col min="10003" max="10003" width="14.85546875" customWidth="1"/>
    <col min="10241" max="10241" width="13.5703125" customWidth="1"/>
    <col min="10242" max="10242" width="27.85546875" customWidth="1"/>
    <col min="10243" max="10243" width="14.140625" customWidth="1"/>
    <col min="10245" max="10245" width="14.140625" customWidth="1"/>
    <col min="10247" max="10247" width="14" customWidth="1"/>
    <col min="10249" max="10249" width="12.85546875" customWidth="1"/>
    <col min="10251" max="10251" width="14.42578125" customWidth="1"/>
    <col min="10253" max="10254" width="14" customWidth="1"/>
    <col min="10255" max="10255" width="12.85546875" customWidth="1"/>
    <col min="10256" max="10256" width="14.28515625" customWidth="1"/>
    <col min="10257" max="10257" width="23.140625" customWidth="1"/>
    <col min="10258" max="10258" width="14.42578125" customWidth="1"/>
    <col min="10259" max="10259" width="14.85546875" customWidth="1"/>
    <col min="10497" max="10497" width="13.5703125" customWidth="1"/>
    <col min="10498" max="10498" width="27.85546875" customWidth="1"/>
    <col min="10499" max="10499" width="14.140625" customWidth="1"/>
    <col min="10501" max="10501" width="14.140625" customWidth="1"/>
    <col min="10503" max="10503" width="14" customWidth="1"/>
    <col min="10505" max="10505" width="12.85546875" customWidth="1"/>
    <col min="10507" max="10507" width="14.42578125" customWidth="1"/>
    <col min="10509" max="10510" width="14" customWidth="1"/>
    <col min="10511" max="10511" width="12.85546875" customWidth="1"/>
    <col min="10512" max="10512" width="14.28515625" customWidth="1"/>
    <col min="10513" max="10513" width="23.140625" customWidth="1"/>
    <col min="10514" max="10514" width="14.42578125" customWidth="1"/>
    <col min="10515" max="10515" width="14.85546875" customWidth="1"/>
    <col min="10753" max="10753" width="13.5703125" customWidth="1"/>
    <col min="10754" max="10754" width="27.85546875" customWidth="1"/>
    <col min="10755" max="10755" width="14.140625" customWidth="1"/>
    <col min="10757" max="10757" width="14.140625" customWidth="1"/>
    <col min="10759" max="10759" width="14" customWidth="1"/>
    <col min="10761" max="10761" width="12.85546875" customWidth="1"/>
    <col min="10763" max="10763" width="14.42578125" customWidth="1"/>
    <col min="10765" max="10766" width="14" customWidth="1"/>
    <col min="10767" max="10767" width="12.85546875" customWidth="1"/>
    <col min="10768" max="10768" width="14.28515625" customWidth="1"/>
    <col min="10769" max="10769" width="23.140625" customWidth="1"/>
    <col min="10770" max="10770" width="14.42578125" customWidth="1"/>
    <col min="10771" max="10771" width="14.85546875" customWidth="1"/>
    <col min="11009" max="11009" width="13.5703125" customWidth="1"/>
    <col min="11010" max="11010" width="27.85546875" customWidth="1"/>
    <col min="11011" max="11011" width="14.140625" customWidth="1"/>
    <col min="11013" max="11013" width="14.140625" customWidth="1"/>
    <col min="11015" max="11015" width="14" customWidth="1"/>
    <col min="11017" max="11017" width="12.85546875" customWidth="1"/>
    <col min="11019" max="11019" width="14.42578125" customWidth="1"/>
    <col min="11021" max="11022" width="14" customWidth="1"/>
    <col min="11023" max="11023" width="12.85546875" customWidth="1"/>
    <col min="11024" max="11024" width="14.28515625" customWidth="1"/>
    <col min="11025" max="11025" width="23.140625" customWidth="1"/>
    <col min="11026" max="11026" width="14.42578125" customWidth="1"/>
    <col min="11027" max="11027" width="14.85546875" customWidth="1"/>
    <col min="11265" max="11265" width="13.5703125" customWidth="1"/>
    <col min="11266" max="11266" width="27.85546875" customWidth="1"/>
    <col min="11267" max="11267" width="14.140625" customWidth="1"/>
    <col min="11269" max="11269" width="14.140625" customWidth="1"/>
    <col min="11271" max="11271" width="14" customWidth="1"/>
    <col min="11273" max="11273" width="12.85546875" customWidth="1"/>
    <col min="11275" max="11275" width="14.42578125" customWidth="1"/>
    <col min="11277" max="11278" width="14" customWidth="1"/>
    <col min="11279" max="11279" width="12.85546875" customWidth="1"/>
    <col min="11280" max="11280" width="14.28515625" customWidth="1"/>
    <col min="11281" max="11281" width="23.140625" customWidth="1"/>
    <col min="11282" max="11282" width="14.42578125" customWidth="1"/>
    <col min="11283" max="11283" width="14.85546875" customWidth="1"/>
    <col min="11521" max="11521" width="13.5703125" customWidth="1"/>
    <col min="11522" max="11522" width="27.85546875" customWidth="1"/>
    <col min="11523" max="11523" width="14.140625" customWidth="1"/>
    <col min="11525" max="11525" width="14.140625" customWidth="1"/>
    <col min="11527" max="11527" width="14" customWidth="1"/>
    <col min="11529" max="11529" width="12.85546875" customWidth="1"/>
    <col min="11531" max="11531" width="14.42578125" customWidth="1"/>
    <col min="11533" max="11534" width="14" customWidth="1"/>
    <col min="11535" max="11535" width="12.85546875" customWidth="1"/>
    <col min="11536" max="11536" width="14.28515625" customWidth="1"/>
    <col min="11537" max="11537" width="23.140625" customWidth="1"/>
    <col min="11538" max="11538" width="14.42578125" customWidth="1"/>
    <col min="11539" max="11539" width="14.85546875" customWidth="1"/>
    <col min="11777" max="11777" width="13.5703125" customWidth="1"/>
    <col min="11778" max="11778" width="27.85546875" customWidth="1"/>
    <col min="11779" max="11779" width="14.140625" customWidth="1"/>
    <col min="11781" max="11781" width="14.140625" customWidth="1"/>
    <col min="11783" max="11783" width="14" customWidth="1"/>
    <col min="11785" max="11785" width="12.85546875" customWidth="1"/>
    <col min="11787" max="11787" width="14.42578125" customWidth="1"/>
    <col min="11789" max="11790" width="14" customWidth="1"/>
    <col min="11791" max="11791" width="12.85546875" customWidth="1"/>
    <col min="11792" max="11792" width="14.28515625" customWidth="1"/>
    <col min="11793" max="11793" width="23.140625" customWidth="1"/>
    <col min="11794" max="11794" width="14.42578125" customWidth="1"/>
    <col min="11795" max="11795" width="14.85546875" customWidth="1"/>
    <col min="12033" max="12033" width="13.5703125" customWidth="1"/>
    <col min="12034" max="12034" width="27.85546875" customWidth="1"/>
    <col min="12035" max="12035" width="14.140625" customWidth="1"/>
    <col min="12037" max="12037" width="14.140625" customWidth="1"/>
    <col min="12039" max="12039" width="14" customWidth="1"/>
    <col min="12041" max="12041" width="12.85546875" customWidth="1"/>
    <col min="12043" max="12043" width="14.42578125" customWidth="1"/>
    <col min="12045" max="12046" width="14" customWidth="1"/>
    <col min="12047" max="12047" width="12.85546875" customWidth="1"/>
    <col min="12048" max="12048" width="14.28515625" customWidth="1"/>
    <col min="12049" max="12049" width="23.140625" customWidth="1"/>
    <col min="12050" max="12050" width="14.42578125" customWidth="1"/>
    <col min="12051" max="12051" width="14.85546875" customWidth="1"/>
    <col min="12289" max="12289" width="13.5703125" customWidth="1"/>
    <col min="12290" max="12290" width="27.85546875" customWidth="1"/>
    <col min="12291" max="12291" width="14.140625" customWidth="1"/>
    <col min="12293" max="12293" width="14.140625" customWidth="1"/>
    <col min="12295" max="12295" width="14" customWidth="1"/>
    <col min="12297" max="12297" width="12.85546875" customWidth="1"/>
    <col min="12299" max="12299" width="14.42578125" customWidth="1"/>
    <col min="12301" max="12302" width="14" customWidth="1"/>
    <col min="12303" max="12303" width="12.85546875" customWidth="1"/>
    <col min="12304" max="12304" width="14.28515625" customWidth="1"/>
    <col min="12305" max="12305" width="23.140625" customWidth="1"/>
    <col min="12306" max="12306" width="14.42578125" customWidth="1"/>
    <col min="12307" max="12307" width="14.85546875" customWidth="1"/>
    <col min="12545" max="12545" width="13.5703125" customWidth="1"/>
    <col min="12546" max="12546" width="27.85546875" customWidth="1"/>
    <col min="12547" max="12547" width="14.140625" customWidth="1"/>
    <col min="12549" max="12549" width="14.140625" customWidth="1"/>
    <col min="12551" max="12551" width="14" customWidth="1"/>
    <col min="12553" max="12553" width="12.85546875" customWidth="1"/>
    <col min="12555" max="12555" width="14.42578125" customWidth="1"/>
    <col min="12557" max="12558" width="14" customWidth="1"/>
    <col min="12559" max="12559" width="12.85546875" customWidth="1"/>
    <col min="12560" max="12560" width="14.28515625" customWidth="1"/>
    <col min="12561" max="12561" width="23.140625" customWidth="1"/>
    <col min="12562" max="12562" width="14.42578125" customWidth="1"/>
    <col min="12563" max="12563" width="14.85546875" customWidth="1"/>
    <col min="12801" max="12801" width="13.5703125" customWidth="1"/>
    <col min="12802" max="12802" width="27.85546875" customWidth="1"/>
    <col min="12803" max="12803" width="14.140625" customWidth="1"/>
    <col min="12805" max="12805" width="14.140625" customWidth="1"/>
    <col min="12807" max="12807" width="14" customWidth="1"/>
    <col min="12809" max="12809" width="12.85546875" customWidth="1"/>
    <col min="12811" max="12811" width="14.42578125" customWidth="1"/>
    <col min="12813" max="12814" width="14" customWidth="1"/>
    <col min="12815" max="12815" width="12.85546875" customWidth="1"/>
    <col min="12816" max="12816" width="14.28515625" customWidth="1"/>
    <col min="12817" max="12817" width="23.140625" customWidth="1"/>
    <col min="12818" max="12818" width="14.42578125" customWidth="1"/>
    <col min="12819" max="12819" width="14.85546875" customWidth="1"/>
    <col min="13057" max="13057" width="13.5703125" customWidth="1"/>
    <col min="13058" max="13058" width="27.85546875" customWidth="1"/>
    <col min="13059" max="13059" width="14.140625" customWidth="1"/>
    <col min="13061" max="13061" width="14.140625" customWidth="1"/>
    <col min="13063" max="13063" width="14" customWidth="1"/>
    <col min="13065" max="13065" width="12.85546875" customWidth="1"/>
    <col min="13067" max="13067" width="14.42578125" customWidth="1"/>
    <col min="13069" max="13070" width="14" customWidth="1"/>
    <col min="13071" max="13071" width="12.85546875" customWidth="1"/>
    <col min="13072" max="13072" width="14.28515625" customWidth="1"/>
    <col min="13073" max="13073" width="23.140625" customWidth="1"/>
    <col min="13074" max="13074" width="14.42578125" customWidth="1"/>
    <col min="13075" max="13075" width="14.85546875" customWidth="1"/>
    <col min="13313" max="13313" width="13.5703125" customWidth="1"/>
    <col min="13314" max="13314" width="27.85546875" customWidth="1"/>
    <col min="13315" max="13315" width="14.140625" customWidth="1"/>
    <col min="13317" max="13317" width="14.140625" customWidth="1"/>
    <col min="13319" max="13319" width="14" customWidth="1"/>
    <col min="13321" max="13321" width="12.85546875" customWidth="1"/>
    <col min="13323" max="13323" width="14.42578125" customWidth="1"/>
    <col min="13325" max="13326" width="14" customWidth="1"/>
    <col min="13327" max="13327" width="12.85546875" customWidth="1"/>
    <col min="13328" max="13328" width="14.28515625" customWidth="1"/>
    <col min="13329" max="13329" width="23.140625" customWidth="1"/>
    <col min="13330" max="13330" width="14.42578125" customWidth="1"/>
    <col min="13331" max="13331" width="14.85546875" customWidth="1"/>
    <col min="13569" max="13569" width="13.5703125" customWidth="1"/>
    <col min="13570" max="13570" width="27.85546875" customWidth="1"/>
    <col min="13571" max="13571" width="14.140625" customWidth="1"/>
    <col min="13573" max="13573" width="14.140625" customWidth="1"/>
    <col min="13575" max="13575" width="14" customWidth="1"/>
    <col min="13577" max="13577" width="12.85546875" customWidth="1"/>
    <col min="13579" max="13579" width="14.42578125" customWidth="1"/>
    <col min="13581" max="13582" width="14" customWidth="1"/>
    <col min="13583" max="13583" width="12.85546875" customWidth="1"/>
    <col min="13584" max="13584" width="14.28515625" customWidth="1"/>
    <col min="13585" max="13585" width="23.140625" customWidth="1"/>
    <col min="13586" max="13586" width="14.42578125" customWidth="1"/>
    <col min="13587" max="13587" width="14.85546875" customWidth="1"/>
    <col min="13825" max="13825" width="13.5703125" customWidth="1"/>
    <col min="13826" max="13826" width="27.85546875" customWidth="1"/>
    <col min="13827" max="13827" width="14.140625" customWidth="1"/>
    <col min="13829" max="13829" width="14.140625" customWidth="1"/>
    <col min="13831" max="13831" width="14" customWidth="1"/>
    <col min="13833" max="13833" width="12.85546875" customWidth="1"/>
    <col min="13835" max="13835" width="14.42578125" customWidth="1"/>
    <col min="13837" max="13838" width="14" customWidth="1"/>
    <col min="13839" max="13839" width="12.85546875" customWidth="1"/>
    <col min="13840" max="13840" width="14.28515625" customWidth="1"/>
    <col min="13841" max="13841" width="23.140625" customWidth="1"/>
    <col min="13842" max="13842" width="14.42578125" customWidth="1"/>
    <col min="13843" max="13843" width="14.85546875" customWidth="1"/>
    <col min="14081" max="14081" width="13.5703125" customWidth="1"/>
    <col min="14082" max="14082" width="27.85546875" customWidth="1"/>
    <col min="14083" max="14083" width="14.140625" customWidth="1"/>
    <col min="14085" max="14085" width="14.140625" customWidth="1"/>
    <col min="14087" max="14087" width="14" customWidth="1"/>
    <col min="14089" max="14089" width="12.85546875" customWidth="1"/>
    <col min="14091" max="14091" width="14.42578125" customWidth="1"/>
    <col min="14093" max="14094" width="14" customWidth="1"/>
    <col min="14095" max="14095" width="12.85546875" customWidth="1"/>
    <col min="14096" max="14096" width="14.28515625" customWidth="1"/>
    <col min="14097" max="14097" width="23.140625" customWidth="1"/>
    <col min="14098" max="14098" width="14.42578125" customWidth="1"/>
    <col min="14099" max="14099" width="14.85546875" customWidth="1"/>
    <col min="14337" max="14337" width="13.5703125" customWidth="1"/>
    <col min="14338" max="14338" width="27.85546875" customWidth="1"/>
    <col min="14339" max="14339" width="14.140625" customWidth="1"/>
    <col min="14341" max="14341" width="14.140625" customWidth="1"/>
    <col min="14343" max="14343" width="14" customWidth="1"/>
    <col min="14345" max="14345" width="12.85546875" customWidth="1"/>
    <col min="14347" max="14347" width="14.42578125" customWidth="1"/>
    <col min="14349" max="14350" width="14" customWidth="1"/>
    <col min="14351" max="14351" width="12.85546875" customWidth="1"/>
    <col min="14352" max="14352" width="14.28515625" customWidth="1"/>
    <col min="14353" max="14353" width="23.140625" customWidth="1"/>
    <col min="14354" max="14354" width="14.42578125" customWidth="1"/>
    <col min="14355" max="14355" width="14.85546875" customWidth="1"/>
    <col min="14593" max="14593" width="13.5703125" customWidth="1"/>
    <col min="14594" max="14594" width="27.85546875" customWidth="1"/>
    <col min="14595" max="14595" width="14.140625" customWidth="1"/>
    <col min="14597" max="14597" width="14.140625" customWidth="1"/>
    <col min="14599" max="14599" width="14" customWidth="1"/>
    <col min="14601" max="14601" width="12.85546875" customWidth="1"/>
    <col min="14603" max="14603" width="14.42578125" customWidth="1"/>
    <col min="14605" max="14606" width="14" customWidth="1"/>
    <col min="14607" max="14607" width="12.85546875" customWidth="1"/>
    <col min="14608" max="14608" width="14.28515625" customWidth="1"/>
    <col min="14609" max="14609" width="23.140625" customWidth="1"/>
    <col min="14610" max="14610" width="14.42578125" customWidth="1"/>
    <col min="14611" max="14611" width="14.85546875" customWidth="1"/>
    <col min="14849" max="14849" width="13.5703125" customWidth="1"/>
    <col min="14850" max="14850" width="27.85546875" customWidth="1"/>
    <col min="14851" max="14851" width="14.140625" customWidth="1"/>
    <col min="14853" max="14853" width="14.140625" customWidth="1"/>
    <col min="14855" max="14855" width="14" customWidth="1"/>
    <col min="14857" max="14857" width="12.85546875" customWidth="1"/>
    <col min="14859" max="14859" width="14.42578125" customWidth="1"/>
    <col min="14861" max="14862" width="14" customWidth="1"/>
    <col min="14863" max="14863" width="12.85546875" customWidth="1"/>
    <col min="14864" max="14864" width="14.28515625" customWidth="1"/>
    <col min="14865" max="14865" width="23.140625" customWidth="1"/>
    <col min="14866" max="14866" width="14.42578125" customWidth="1"/>
    <col min="14867" max="14867" width="14.85546875" customWidth="1"/>
    <col min="15105" max="15105" width="13.5703125" customWidth="1"/>
    <col min="15106" max="15106" width="27.85546875" customWidth="1"/>
    <col min="15107" max="15107" width="14.140625" customWidth="1"/>
    <col min="15109" max="15109" width="14.140625" customWidth="1"/>
    <col min="15111" max="15111" width="14" customWidth="1"/>
    <col min="15113" max="15113" width="12.85546875" customWidth="1"/>
    <col min="15115" max="15115" width="14.42578125" customWidth="1"/>
    <col min="15117" max="15118" width="14" customWidth="1"/>
    <col min="15119" max="15119" width="12.85546875" customWidth="1"/>
    <col min="15120" max="15120" width="14.28515625" customWidth="1"/>
    <col min="15121" max="15121" width="23.140625" customWidth="1"/>
    <col min="15122" max="15122" width="14.42578125" customWidth="1"/>
    <col min="15123" max="15123" width="14.85546875" customWidth="1"/>
    <col min="15361" max="15361" width="13.5703125" customWidth="1"/>
    <col min="15362" max="15362" width="27.85546875" customWidth="1"/>
    <col min="15363" max="15363" width="14.140625" customWidth="1"/>
    <col min="15365" max="15365" width="14.140625" customWidth="1"/>
    <col min="15367" max="15367" width="14" customWidth="1"/>
    <col min="15369" max="15369" width="12.85546875" customWidth="1"/>
    <col min="15371" max="15371" width="14.42578125" customWidth="1"/>
    <col min="15373" max="15374" width="14" customWidth="1"/>
    <col min="15375" max="15375" width="12.85546875" customWidth="1"/>
    <col min="15376" max="15376" width="14.28515625" customWidth="1"/>
    <col min="15377" max="15377" width="23.140625" customWidth="1"/>
    <col min="15378" max="15378" width="14.42578125" customWidth="1"/>
    <col min="15379" max="15379" width="14.85546875" customWidth="1"/>
    <col min="15617" max="15617" width="13.5703125" customWidth="1"/>
    <col min="15618" max="15618" width="27.85546875" customWidth="1"/>
    <col min="15619" max="15619" width="14.140625" customWidth="1"/>
    <col min="15621" max="15621" width="14.140625" customWidth="1"/>
    <col min="15623" max="15623" width="14" customWidth="1"/>
    <col min="15625" max="15625" width="12.85546875" customWidth="1"/>
    <col min="15627" max="15627" width="14.42578125" customWidth="1"/>
    <col min="15629" max="15630" width="14" customWidth="1"/>
    <col min="15631" max="15631" width="12.85546875" customWidth="1"/>
    <col min="15632" max="15632" width="14.28515625" customWidth="1"/>
    <col min="15633" max="15633" width="23.140625" customWidth="1"/>
    <col min="15634" max="15634" width="14.42578125" customWidth="1"/>
    <col min="15635" max="15635" width="14.85546875" customWidth="1"/>
    <col min="15873" max="15873" width="13.5703125" customWidth="1"/>
    <col min="15874" max="15874" width="27.85546875" customWidth="1"/>
    <col min="15875" max="15875" width="14.140625" customWidth="1"/>
    <col min="15877" max="15877" width="14.140625" customWidth="1"/>
    <col min="15879" max="15879" width="14" customWidth="1"/>
    <col min="15881" max="15881" width="12.85546875" customWidth="1"/>
    <col min="15883" max="15883" width="14.42578125" customWidth="1"/>
    <col min="15885" max="15886" width="14" customWidth="1"/>
    <col min="15887" max="15887" width="12.85546875" customWidth="1"/>
    <col min="15888" max="15888" width="14.28515625" customWidth="1"/>
    <col min="15889" max="15889" width="23.140625" customWidth="1"/>
    <col min="15890" max="15890" width="14.42578125" customWidth="1"/>
    <col min="15891" max="15891" width="14.85546875" customWidth="1"/>
    <col min="16129" max="16129" width="13.5703125" customWidth="1"/>
    <col min="16130" max="16130" width="27.85546875" customWidth="1"/>
    <col min="16131" max="16131" width="14.140625" customWidth="1"/>
    <col min="16133" max="16133" width="14.140625" customWidth="1"/>
    <col min="16135" max="16135" width="14" customWidth="1"/>
    <col min="16137" max="16137" width="12.85546875" customWidth="1"/>
    <col min="16139" max="16139" width="14.42578125" customWidth="1"/>
    <col min="16141" max="16142" width="14" customWidth="1"/>
    <col min="16143" max="16143" width="12.85546875" customWidth="1"/>
    <col min="16144" max="16144" width="14.28515625" customWidth="1"/>
    <col min="16145" max="16145" width="23.140625" customWidth="1"/>
    <col min="16146" max="16146" width="14.42578125" customWidth="1"/>
    <col min="16147" max="16147" width="14.855468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2000</v>
      </c>
      <c r="B6">
        <v>0</v>
      </c>
      <c r="C6">
        <v>912.28998000000001</v>
      </c>
      <c r="D6">
        <v>0</v>
      </c>
      <c r="E6">
        <v>676.37793999999997</v>
      </c>
      <c r="F6">
        <v>0</v>
      </c>
      <c r="G6">
        <v>281.44619999999998</v>
      </c>
      <c r="H6">
        <v>3</v>
      </c>
      <c r="I6">
        <v>102.06231</v>
      </c>
      <c r="J6">
        <v>3</v>
      </c>
      <c r="K6">
        <v>40.709269999999997</v>
      </c>
      <c r="L6">
        <v>0</v>
      </c>
      <c r="M6">
        <v>18.191963999999999</v>
      </c>
      <c r="N6">
        <v>0</v>
      </c>
      <c r="O6">
        <v>8.5657921999999989</v>
      </c>
      <c r="P6" s="3">
        <f>(B6*C6)+(D6*E6)+(F6*G6)+(H6*I6)+(J6*K6)+(L6*M6)+(N6*O6)</f>
        <v>428.31473999999992</v>
      </c>
    </row>
    <row r="7" spans="1:19" x14ac:dyDescent="0.2">
      <c r="A7">
        <v>4000</v>
      </c>
      <c r="B7">
        <v>10</v>
      </c>
      <c r="C7">
        <v>912.28998000000001</v>
      </c>
      <c r="D7">
        <v>4</v>
      </c>
      <c r="E7">
        <v>676.37793999999997</v>
      </c>
      <c r="F7">
        <v>3</v>
      </c>
      <c r="G7">
        <v>281.44619999999998</v>
      </c>
      <c r="H7">
        <v>9</v>
      </c>
      <c r="I7">
        <v>102.06231</v>
      </c>
      <c r="J7">
        <v>15</v>
      </c>
      <c r="K7">
        <v>40.709269999999997</v>
      </c>
      <c r="L7">
        <v>10</v>
      </c>
      <c r="M7">
        <v>18.191963999999999</v>
      </c>
      <c r="N7">
        <v>5</v>
      </c>
      <c r="O7">
        <v>8.5657921999999989</v>
      </c>
      <c r="P7" s="3">
        <f t="shared" ref="P7:P20" si="0">(B7*C7)+(D7*E7)+(F7*G7)+(H7*I7)+(J7*K7)+(L7*M7)+(N7*O7)</f>
        <v>14426.698600999996</v>
      </c>
    </row>
    <row r="8" spans="1:19" x14ac:dyDescent="0.2">
      <c r="A8">
        <v>6000</v>
      </c>
      <c r="B8">
        <v>9</v>
      </c>
      <c r="C8">
        <v>912.28998000000001</v>
      </c>
      <c r="D8">
        <v>6</v>
      </c>
      <c r="E8">
        <v>676.37793999999997</v>
      </c>
      <c r="F8">
        <v>10</v>
      </c>
      <c r="G8">
        <v>281.44619999999998</v>
      </c>
      <c r="H8">
        <v>19</v>
      </c>
      <c r="I8">
        <v>102.06231</v>
      </c>
      <c r="J8">
        <v>41</v>
      </c>
      <c r="K8">
        <v>40.709269999999997</v>
      </c>
      <c r="L8">
        <v>36</v>
      </c>
      <c r="M8">
        <v>18.191963999999999</v>
      </c>
      <c r="N8">
        <v>15</v>
      </c>
      <c r="O8">
        <v>8.5657921999999989</v>
      </c>
      <c r="P8" s="3">
        <f t="shared" si="0"/>
        <v>19475.001007000003</v>
      </c>
    </row>
    <row r="9" spans="1:19" x14ac:dyDescent="0.2">
      <c r="A9">
        <v>8000</v>
      </c>
      <c r="B9">
        <v>7</v>
      </c>
      <c r="C9">
        <v>912.28998000000001</v>
      </c>
      <c r="D9">
        <v>7</v>
      </c>
      <c r="E9">
        <v>676.37793999999997</v>
      </c>
      <c r="F9">
        <v>8</v>
      </c>
      <c r="G9">
        <v>281.44619999999998</v>
      </c>
      <c r="H9">
        <v>21</v>
      </c>
      <c r="I9">
        <v>102.06231</v>
      </c>
      <c r="J9">
        <v>28</v>
      </c>
      <c r="K9">
        <v>40.709269999999997</v>
      </c>
      <c r="L9">
        <v>25</v>
      </c>
      <c r="M9">
        <v>18.191963999999999</v>
      </c>
      <c r="N9">
        <v>12</v>
      </c>
      <c r="O9">
        <v>8.5657921999999989</v>
      </c>
      <c r="P9" s="3">
        <f t="shared" si="0"/>
        <v>17213.001716399998</v>
      </c>
    </row>
    <row r="10" spans="1:19" x14ac:dyDescent="0.2">
      <c r="A10">
        <v>10000</v>
      </c>
      <c r="B10">
        <v>43</v>
      </c>
      <c r="C10">
        <v>912.28998000000001</v>
      </c>
      <c r="D10">
        <v>67</v>
      </c>
      <c r="E10">
        <v>676.37793999999997</v>
      </c>
      <c r="F10">
        <v>130</v>
      </c>
      <c r="G10">
        <v>281.44619999999998</v>
      </c>
      <c r="H10">
        <v>325</v>
      </c>
      <c r="I10">
        <v>102.06231</v>
      </c>
      <c r="J10">
        <v>500</v>
      </c>
      <c r="K10">
        <v>40.709269999999997</v>
      </c>
      <c r="L10">
        <v>505</v>
      </c>
      <c r="M10">
        <v>18.191963999999999</v>
      </c>
      <c r="N10">
        <v>287</v>
      </c>
      <c r="O10">
        <v>8.5657921999999989</v>
      </c>
      <c r="P10" s="3">
        <f t="shared" si="0"/>
        <v>186304.00705140003</v>
      </c>
    </row>
    <row r="11" spans="1:19" x14ac:dyDescent="0.2">
      <c r="A11">
        <v>20000</v>
      </c>
      <c r="B11">
        <v>23</v>
      </c>
      <c r="C11">
        <v>912.28998000000001</v>
      </c>
      <c r="D11">
        <v>33</v>
      </c>
      <c r="E11">
        <v>676.37793999999997</v>
      </c>
      <c r="F11">
        <v>94</v>
      </c>
      <c r="G11">
        <v>281.44619999999998</v>
      </c>
      <c r="H11">
        <v>261</v>
      </c>
      <c r="I11">
        <v>102.06231</v>
      </c>
      <c r="J11">
        <v>427</v>
      </c>
      <c r="K11">
        <v>40.709269999999997</v>
      </c>
      <c r="L11">
        <v>512</v>
      </c>
      <c r="M11">
        <v>18.191963999999999</v>
      </c>
      <c r="N11">
        <v>318</v>
      </c>
      <c r="O11">
        <v>8.5657921999999989</v>
      </c>
      <c r="P11" s="3">
        <f t="shared" si="0"/>
        <v>125818.4130476</v>
      </c>
    </row>
    <row r="12" spans="1:19" x14ac:dyDescent="0.2">
      <c r="A12">
        <v>30000</v>
      </c>
      <c r="B12">
        <v>4</v>
      </c>
      <c r="C12">
        <v>912.28998000000001</v>
      </c>
      <c r="D12">
        <v>13</v>
      </c>
      <c r="E12">
        <v>676.37793999999997</v>
      </c>
      <c r="F12">
        <v>65</v>
      </c>
      <c r="G12">
        <v>281.44619999999998</v>
      </c>
      <c r="H12">
        <v>167</v>
      </c>
      <c r="I12">
        <v>102.06231</v>
      </c>
      <c r="J12">
        <v>278</v>
      </c>
      <c r="K12">
        <v>40.709269999999997</v>
      </c>
      <c r="L12">
        <v>365</v>
      </c>
      <c r="M12">
        <v>18.191963999999999</v>
      </c>
      <c r="N12">
        <v>226</v>
      </c>
      <c r="O12">
        <v>8.5657921999999989</v>
      </c>
      <c r="P12" s="3">
        <f t="shared" si="0"/>
        <v>67673.594867200009</v>
      </c>
      <c r="Q12" s="3">
        <f t="shared" ref="Q12:Q19" si="1">Q13+P12</f>
        <v>225827.7011676</v>
      </c>
      <c r="R12">
        <v>3408300</v>
      </c>
      <c r="S12" s="21">
        <f t="shared" ref="S12:S20" si="2">(Q12/R12)*100</f>
        <v>6.6258164236598889</v>
      </c>
    </row>
    <row r="13" spans="1:19" x14ac:dyDescent="0.2">
      <c r="A13">
        <v>40000</v>
      </c>
      <c r="B13">
        <v>1</v>
      </c>
      <c r="C13">
        <v>912.28998000000001</v>
      </c>
      <c r="D13">
        <v>8</v>
      </c>
      <c r="E13">
        <v>676.37793999999997</v>
      </c>
      <c r="F13">
        <v>31</v>
      </c>
      <c r="G13">
        <v>281.44619999999998</v>
      </c>
      <c r="H13">
        <v>91</v>
      </c>
      <c r="I13">
        <v>102.06231</v>
      </c>
      <c r="J13">
        <v>172</v>
      </c>
      <c r="K13">
        <v>40.709269999999997</v>
      </c>
      <c r="L13">
        <v>233</v>
      </c>
      <c r="M13">
        <v>18.191963999999999</v>
      </c>
      <c r="N13">
        <v>148</v>
      </c>
      <c r="O13">
        <v>8.5657921999999989</v>
      </c>
      <c r="P13" s="3">
        <f t="shared" si="0"/>
        <v>36844.275207599996</v>
      </c>
      <c r="Q13" s="3">
        <f t="shared" si="1"/>
        <v>158154.10630039999</v>
      </c>
      <c r="R13">
        <v>3408300</v>
      </c>
      <c r="S13" s="21">
        <f t="shared" si="2"/>
        <v>4.6402636593140274</v>
      </c>
    </row>
    <row r="14" spans="1:19" x14ac:dyDescent="0.2">
      <c r="A14">
        <v>50000</v>
      </c>
      <c r="B14">
        <v>0</v>
      </c>
      <c r="C14">
        <v>912.28998000000001</v>
      </c>
      <c r="D14">
        <v>7</v>
      </c>
      <c r="E14">
        <v>676.37793999999997</v>
      </c>
      <c r="F14">
        <v>20</v>
      </c>
      <c r="G14">
        <v>281.44619999999998</v>
      </c>
      <c r="H14">
        <v>77</v>
      </c>
      <c r="I14">
        <v>102.06231</v>
      </c>
      <c r="J14">
        <v>154</v>
      </c>
      <c r="K14">
        <v>40.709269999999997</v>
      </c>
      <c r="L14">
        <v>189</v>
      </c>
      <c r="M14">
        <v>18.191963999999999</v>
      </c>
      <c r="N14">
        <v>109</v>
      </c>
      <c r="O14">
        <v>8.5657921999999989</v>
      </c>
      <c r="P14" s="3">
        <f t="shared" si="0"/>
        <v>28863.547575799996</v>
      </c>
      <c r="Q14" s="3">
        <f t="shared" si="1"/>
        <v>121309.8310928</v>
      </c>
      <c r="R14">
        <v>3408300</v>
      </c>
      <c r="S14" s="21">
        <f t="shared" si="2"/>
        <v>3.5592474574655988</v>
      </c>
    </row>
    <row r="15" spans="1:19" x14ac:dyDescent="0.2">
      <c r="A15">
        <v>60000</v>
      </c>
      <c r="B15">
        <v>3</v>
      </c>
      <c r="C15">
        <v>912.28998000000001</v>
      </c>
      <c r="D15">
        <v>9</v>
      </c>
      <c r="E15">
        <v>676.37793999999997</v>
      </c>
      <c r="F15">
        <v>31</v>
      </c>
      <c r="G15">
        <v>281.44619999999998</v>
      </c>
      <c r="H15">
        <v>89</v>
      </c>
      <c r="I15">
        <v>102.06231</v>
      </c>
      <c r="J15">
        <v>178</v>
      </c>
      <c r="K15">
        <v>40.709269999999997</v>
      </c>
      <c r="L15">
        <v>208</v>
      </c>
      <c r="M15">
        <v>18.191963999999999</v>
      </c>
      <c r="N15">
        <v>124</v>
      </c>
      <c r="O15">
        <v>8.5657921999999989</v>
      </c>
      <c r="P15" s="3">
        <f t="shared" si="0"/>
        <v>38724.985994799994</v>
      </c>
      <c r="Q15" s="3">
        <f t="shared" si="1"/>
        <v>92446.283517000003</v>
      </c>
      <c r="R15">
        <v>3408300</v>
      </c>
      <c r="S15" s="21">
        <f t="shared" si="2"/>
        <v>2.7123869235982747</v>
      </c>
    </row>
    <row r="16" spans="1:19" x14ac:dyDescent="0.2">
      <c r="A16">
        <v>80000</v>
      </c>
      <c r="B16">
        <v>0</v>
      </c>
      <c r="C16">
        <v>912.28998000000001</v>
      </c>
      <c r="D16">
        <v>2</v>
      </c>
      <c r="E16">
        <v>676.37793999999997</v>
      </c>
      <c r="F16">
        <v>12</v>
      </c>
      <c r="G16">
        <v>281.44619999999998</v>
      </c>
      <c r="H16">
        <v>47</v>
      </c>
      <c r="I16">
        <v>102.06231</v>
      </c>
      <c r="J16">
        <v>97</v>
      </c>
      <c r="K16">
        <v>40.709269999999997</v>
      </c>
      <c r="L16">
        <v>118</v>
      </c>
      <c r="M16">
        <v>18.191963999999999</v>
      </c>
      <c r="N16">
        <v>79</v>
      </c>
      <c r="O16">
        <v>8.5657921999999989</v>
      </c>
      <c r="P16" s="3">
        <f t="shared" si="0"/>
        <v>16299.1873758</v>
      </c>
      <c r="Q16" s="3">
        <f t="shared" si="1"/>
        <v>53721.297522200002</v>
      </c>
      <c r="R16">
        <v>3408300</v>
      </c>
      <c r="S16" s="21">
        <f t="shared" si="2"/>
        <v>1.5761904034914769</v>
      </c>
    </row>
    <row r="17" spans="1:19" x14ac:dyDescent="0.2">
      <c r="A17">
        <v>100000</v>
      </c>
      <c r="B17">
        <v>0</v>
      </c>
      <c r="C17">
        <v>912.28998000000001</v>
      </c>
      <c r="D17">
        <v>3</v>
      </c>
      <c r="E17">
        <v>676.37793999999997</v>
      </c>
      <c r="F17">
        <v>14</v>
      </c>
      <c r="G17">
        <v>281.44619999999998</v>
      </c>
      <c r="H17">
        <v>32</v>
      </c>
      <c r="I17">
        <v>102.06231</v>
      </c>
      <c r="J17">
        <v>60</v>
      </c>
      <c r="K17">
        <v>40.709269999999997</v>
      </c>
      <c r="L17">
        <v>85</v>
      </c>
      <c r="M17">
        <v>18.191963999999999</v>
      </c>
      <c r="N17">
        <v>50</v>
      </c>
      <c r="O17">
        <v>8.5657921999999989</v>
      </c>
      <c r="P17" s="3">
        <f t="shared" si="0"/>
        <v>13652.53729</v>
      </c>
      <c r="Q17" s="3">
        <f t="shared" si="1"/>
        <v>37422.110146400002</v>
      </c>
      <c r="R17">
        <v>3408300</v>
      </c>
      <c r="S17" s="21">
        <f t="shared" si="2"/>
        <v>1.0979699599917849</v>
      </c>
    </row>
    <row r="18" spans="1:19" x14ac:dyDescent="0.2">
      <c r="A18">
        <v>120000</v>
      </c>
      <c r="B18">
        <v>0</v>
      </c>
      <c r="C18">
        <v>912.28998000000001</v>
      </c>
      <c r="D18">
        <v>1</v>
      </c>
      <c r="E18">
        <v>676.37793999999997</v>
      </c>
      <c r="F18">
        <v>2</v>
      </c>
      <c r="G18">
        <v>281.44619999999998</v>
      </c>
      <c r="H18">
        <v>12</v>
      </c>
      <c r="I18">
        <v>102.06231</v>
      </c>
      <c r="J18">
        <v>27</v>
      </c>
      <c r="K18">
        <v>40.709269999999997</v>
      </c>
      <c r="L18">
        <v>55</v>
      </c>
      <c r="M18">
        <v>18.191963999999999</v>
      </c>
      <c r="N18">
        <v>29</v>
      </c>
      <c r="O18">
        <v>8.5657921999999989</v>
      </c>
      <c r="P18" s="3">
        <f t="shared" si="0"/>
        <v>4812.1343438000004</v>
      </c>
      <c r="Q18" s="3">
        <f t="shared" si="1"/>
        <v>23769.572856400002</v>
      </c>
      <c r="R18">
        <v>3408300</v>
      </c>
      <c r="S18" s="21">
        <f t="shared" si="2"/>
        <v>0.69740260119120978</v>
      </c>
    </row>
    <row r="19" spans="1:19" x14ac:dyDescent="0.2">
      <c r="A19">
        <v>140000</v>
      </c>
      <c r="B19">
        <v>1</v>
      </c>
      <c r="C19">
        <v>912.28998000000001</v>
      </c>
      <c r="D19">
        <v>2</v>
      </c>
      <c r="E19">
        <v>676.37793999999997</v>
      </c>
      <c r="F19">
        <v>6</v>
      </c>
      <c r="G19">
        <v>281.44619999999998</v>
      </c>
      <c r="H19">
        <v>20</v>
      </c>
      <c r="I19">
        <v>102.06231</v>
      </c>
      <c r="J19">
        <v>47</v>
      </c>
      <c r="K19">
        <v>40.709269999999997</v>
      </c>
      <c r="L19">
        <v>66</v>
      </c>
      <c r="M19">
        <v>18.191963999999999</v>
      </c>
      <c r="N19">
        <v>45</v>
      </c>
      <c r="O19">
        <v>8.5657921999999989</v>
      </c>
      <c r="P19" s="3">
        <f t="shared" si="0"/>
        <v>9494.4352230000004</v>
      </c>
      <c r="Q19" s="3">
        <f t="shared" si="1"/>
        <v>18957.438512600002</v>
      </c>
      <c r="R19">
        <v>3408300</v>
      </c>
      <c r="S19" s="21">
        <f t="shared" si="2"/>
        <v>0.55621390466214837</v>
      </c>
    </row>
    <row r="20" spans="1:19" x14ac:dyDescent="0.2">
      <c r="A20" t="s">
        <v>10</v>
      </c>
      <c r="B20">
        <v>2</v>
      </c>
      <c r="C20">
        <v>912.28998000000001</v>
      </c>
      <c r="D20">
        <v>0</v>
      </c>
      <c r="E20">
        <v>676.37793999999997</v>
      </c>
      <c r="F20">
        <v>7</v>
      </c>
      <c r="G20">
        <v>281.44619999999998</v>
      </c>
      <c r="H20">
        <v>21</v>
      </c>
      <c r="I20">
        <v>102.06231</v>
      </c>
      <c r="J20">
        <v>41</v>
      </c>
      <c r="K20">
        <v>40.709269999999997</v>
      </c>
      <c r="L20">
        <v>70</v>
      </c>
      <c r="M20">
        <v>18.191963999999999</v>
      </c>
      <c r="N20">
        <v>68</v>
      </c>
      <c r="O20">
        <v>8.5657921999999989</v>
      </c>
      <c r="P20" s="3">
        <f t="shared" si="0"/>
        <v>9463.0032896000012</v>
      </c>
      <c r="Q20" s="3">
        <f>P20</f>
        <v>9463.0032896000012</v>
      </c>
      <c r="R20">
        <v>3408300</v>
      </c>
      <c r="S20" s="21">
        <f t="shared" si="2"/>
        <v>0.27764584366399675</v>
      </c>
    </row>
    <row r="21" spans="1:19" x14ac:dyDescent="0.2">
      <c r="A21" t="s">
        <v>3</v>
      </c>
      <c r="B21">
        <f t="shared" ref="B21:N21" si="3">SUM(B6:B20)</f>
        <v>103</v>
      </c>
      <c r="C21">
        <v>912.28998000000001</v>
      </c>
      <c r="D21">
        <f t="shared" si="3"/>
        <v>162</v>
      </c>
      <c r="E21">
        <v>676.37793999999997</v>
      </c>
      <c r="F21">
        <f t="shared" si="3"/>
        <v>433</v>
      </c>
      <c r="G21">
        <v>281.44619999999998</v>
      </c>
      <c r="H21">
        <f t="shared" si="3"/>
        <v>1194</v>
      </c>
      <c r="I21">
        <v>102.06231</v>
      </c>
      <c r="J21">
        <f t="shared" si="3"/>
        <v>2068</v>
      </c>
      <c r="K21">
        <v>40.709269999999997</v>
      </c>
      <c r="L21">
        <f t="shared" si="3"/>
        <v>2477</v>
      </c>
      <c r="M21">
        <v>18.191963999999999</v>
      </c>
      <c r="N21">
        <f t="shared" si="3"/>
        <v>1515</v>
      </c>
      <c r="O21">
        <v>8.5657921999999989</v>
      </c>
      <c r="P21" s="3">
        <f>(B21*C21)+(D21*E21)+(F21*G21)+(H21*I21)+(J21*K21)+(L21*M21)+(N21*O21)</f>
        <v>589493.13733099995</v>
      </c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10</v>
      </c>
      <c r="B32" s="14">
        <v>5.0000000000000001E-4</v>
      </c>
      <c r="C32" s="4" t="s">
        <v>86</v>
      </c>
      <c r="K32" s="4">
        <v>1.9480106321104766</v>
      </c>
      <c r="L32" s="4">
        <v>9742.2880402297651</v>
      </c>
      <c r="M32" s="20">
        <f t="shared" ref="M32:M37" si="4">POWER(B32,1/K32)</f>
        <v>2.0203905528425724E-2</v>
      </c>
      <c r="N32" s="8">
        <f t="shared" ref="N32:N37" si="5">L32/M32</f>
        <v>482198.25748655031</v>
      </c>
      <c r="O32" s="5">
        <f t="shared" ref="O32:O37" si="6">R12</f>
        <v>3408300</v>
      </c>
      <c r="P32" s="8">
        <f>O32*(K32/(1-K32))*POWER(L32,K32)*(-1)*POWER(N32,1-K32)</f>
        <v>1688540844.6241887</v>
      </c>
      <c r="Q32" s="9">
        <f t="shared" ref="Q32:Q37" si="7">B32*O32</f>
        <v>1704.15</v>
      </c>
      <c r="R32" s="8">
        <f t="shared" ref="R32:R37" si="8">P32/Q32</f>
        <v>990840.50384308223</v>
      </c>
      <c r="S32" s="4">
        <f t="shared" ref="S32:S37" si="9">P32*9.84*1.23</f>
        <v>20436747550.655479</v>
      </c>
    </row>
    <row r="33" spans="1:19" x14ac:dyDescent="0.2">
      <c r="A33" t="s">
        <v>10</v>
      </c>
      <c r="B33" s="14">
        <v>1E-3</v>
      </c>
      <c r="C33" s="4" t="s">
        <v>86</v>
      </c>
      <c r="K33" s="4">
        <v>1.9480106321104766</v>
      </c>
      <c r="L33" s="4">
        <v>9742.2880402297651</v>
      </c>
      <c r="M33" s="20">
        <f t="shared" si="4"/>
        <v>2.8838146096904781E-2</v>
      </c>
      <c r="N33" s="8">
        <f t="shared" si="5"/>
        <v>337826.43334605382</v>
      </c>
      <c r="O33" s="5">
        <f t="shared" si="6"/>
        <v>3408300</v>
      </c>
      <c r="P33" s="8">
        <f>O33*(K33/(1-K33))*POWER(L33,K33)*(POWER(N32,1-K33)-POWER(N33,1-K33))+P32</f>
        <v>2365971764.6923866</v>
      </c>
      <c r="Q33" s="9">
        <f t="shared" si="7"/>
        <v>3408.3</v>
      </c>
      <c r="R33" s="8">
        <f t="shared" si="8"/>
        <v>694179.4339384404</v>
      </c>
      <c r="S33" s="4">
        <f t="shared" si="9"/>
        <v>28635829462.424896</v>
      </c>
    </row>
    <row r="34" spans="1:19" x14ac:dyDescent="0.2">
      <c r="A34" t="s">
        <v>10</v>
      </c>
      <c r="B34" s="14">
        <v>2.5000000000000001E-3</v>
      </c>
      <c r="C34" s="4" t="s">
        <v>86</v>
      </c>
      <c r="K34" s="4">
        <v>1.9480106321104766</v>
      </c>
      <c r="L34" s="4">
        <v>9742.2880402297651</v>
      </c>
      <c r="M34" s="20">
        <f t="shared" si="4"/>
        <v>4.6158059361430977E-2</v>
      </c>
      <c r="N34" s="8">
        <f t="shared" si="5"/>
        <v>211063.64034815301</v>
      </c>
      <c r="O34" s="5">
        <f t="shared" si="6"/>
        <v>3408300</v>
      </c>
      <c r="P34" s="8">
        <f>O34*(K34/(1-K34))*POWER(L34,K34)*(POWER(N33,1-K34)-POWER(N34,1-K34))+P33</f>
        <v>3695467289.7471709</v>
      </c>
      <c r="Q34" s="9">
        <f t="shared" si="7"/>
        <v>8520.75</v>
      </c>
      <c r="R34" s="8">
        <f t="shared" si="8"/>
        <v>433702.11422083393</v>
      </c>
      <c r="S34" s="4">
        <f t="shared" si="9"/>
        <v>44726979701.26796</v>
      </c>
    </row>
    <row r="35" spans="1:19" x14ac:dyDescent="0.2">
      <c r="A35" t="s">
        <v>70</v>
      </c>
      <c r="B35" s="14">
        <v>5.0000000000000001E-3</v>
      </c>
      <c r="C35">
        <f>S20/100</f>
        <v>2.7764584366399675E-3</v>
      </c>
      <c r="D35">
        <f>S19/100</f>
        <v>5.5621390466214834E-3</v>
      </c>
      <c r="E35">
        <v>200000</v>
      </c>
      <c r="F35">
        <v>140000</v>
      </c>
      <c r="G35">
        <f>D35/C35</f>
        <v>2.0033215600204368</v>
      </c>
      <c r="H35">
        <f>LN(G35)</f>
        <v>0.69480658300005893</v>
      </c>
      <c r="I35">
        <f>E35/F35</f>
        <v>1.4285714285714286</v>
      </c>
      <c r="J35">
        <f>LN(I35)</f>
        <v>0.35667494393873239</v>
      </c>
      <c r="K35" s="4">
        <f>H35/J35</f>
        <v>1.9480106321104766</v>
      </c>
      <c r="L35" s="4">
        <f>F35*POWER(D35,1/K35)</f>
        <v>9742.2880402297651</v>
      </c>
      <c r="M35" s="20">
        <f t="shared" si="4"/>
        <v>6.5883938010982676E-2</v>
      </c>
      <c r="N35" s="8">
        <f t="shared" si="5"/>
        <v>147870.45726692522</v>
      </c>
      <c r="O35" s="5">
        <f t="shared" si="6"/>
        <v>3408300</v>
      </c>
      <c r="P35" s="8">
        <f>O35*(K35/(1-K35))*POWER(L35,K35)*(POWER(N34,1-K35)-POWER(N35,1-K35))+P34</f>
        <v>5178063232.9519291</v>
      </c>
      <c r="Q35" s="9">
        <f t="shared" si="7"/>
        <v>17041.5</v>
      </c>
      <c r="R35" s="8">
        <f t="shared" si="8"/>
        <v>303850.20291358914</v>
      </c>
      <c r="S35" s="4">
        <f t="shared" si="9"/>
        <v>62671134921.063782</v>
      </c>
    </row>
    <row r="36" spans="1:19" x14ac:dyDescent="0.2">
      <c r="A36" t="s">
        <v>71</v>
      </c>
      <c r="B36" s="14">
        <v>0.01</v>
      </c>
      <c r="C36">
        <f>S18/100</f>
        <v>6.9740260119120975E-3</v>
      </c>
      <c r="D36">
        <f>S17/100</f>
        <v>1.0979699599917849E-2</v>
      </c>
      <c r="E36">
        <v>120000</v>
      </c>
      <c r="F36">
        <v>100000</v>
      </c>
      <c r="G36">
        <f>D36/C36</f>
        <v>1.5743703251412879</v>
      </c>
      <c r="H36">
        <f>LN(G36)</f>
        <v>0.45385539877775694</v>
      </c>
      <c r="I36">
        <f>E36/F36</f>
        <v>1.2</v>
      </c>
      <c r="J36">
        <f>LN(I36)</f>
        <v>0.18232155679395459</v>
      </c>
      <c r="K36" s="4">
        <f>H36/J36</f>
        <v>2.4893128753319522</v>
      </c>
      <c r="L36" s="4">
        <f>F36*POWER(D36,1/K36)</f>
        <v>16325.681756472126</v>
      </c>
      <c r="M36" s="20">
        <f t="shared" si="4"/>
        <v>0.15724086992781189</v>
      </c>
      <c r="N36" s="8">
        <f t="shared" si="5"/>
        <v>103825.9440053157</v>
      </c>
      <c r="O36" s="5">
        <f t="shared" si="6"/>
        <v>3408300</v>
      </c>
      <c r="P36" s="8">
        <f>O36*(K36/(1-K36))*POWER(L36,K36)*(POWER(N35,1-K36)-POWER(N36,1-K36))+P35</f>
        <v>7599690923.8498764</v>
      </c>
      <c r="Q36" s="9">
        <f t="shared" si="7"/>
        <v>34083</v>
      </c>
      <c r="R36" s="8">
        <f t="shared" si="8"/>
        <v>222975.99753102357</v>
      </c>
      <c r="S36" s="4">
        <f t="shared" si="9"/>
        <v>91980579189.539825</v>
      </c>
    </row>
    <row r="37" spans="1:19" x14ac:dyDescent="0.2">
      <c r="A37" t="s">
        <v>72</v>
      </c>
      <c r="B37" s="14">
        <v>0.02</v>
      </c>
      <c r="C37">
        <f>S16/100</f>
        <v>1.5761904034914769E-2</v>
      </c>
      <c r="D37">
        <f>S15/100</f>
        <v>2.7123869235982746E-2</v>
      </c>
      <c r="E37">
        <v>80000</v>
      </c>
      <c r="F37">
        <v>60000</v>
      </c>
      <c r="G37">
        <f>D37/C37</f>
        <v>1.7208497892069177</v>
      </c>
      <c r="H37">
        <f>LN(G37)</f>
        <v>0.54281823230857362</v>
      </c>
      <c r="I37">
        <f>E37/F37</f>
        <v>1.3333333333333333</v>
      </c>
      <c r="J37">
        <f>LN(I37)</f>
        <v>0.28768207245178085</v>
      </c>
      <c r="K37" s="4">
        <f>H37/J37</f>
        <v>1.8868684714427479</v>
      </c>
      <c r="L37" s="4">
        <f>F37*POWER(D37,1/K37)</f>
        <v>8868.7226380742977</v>
      </c>
      <c r="M37" s="20">
        <f t="shared" si="4"/>
        <v>0.12577148114738634</v>
      </c>
      <c r="N37" s="8">
        <f t="shared" si="5"/>
        <v>70514.575777965219</v>
      </c>
      <c r="O37" s="5">
        <f t="shared" si="6"/>
        <v>3408300</v>
      </c>
      <c r="P37" s="8">
        <f>O37*(K37/(1-K37))*POWER(L37,K37)*(POWER(N36,1-K37)-POWER(N37,1-K37))+P36</f>
        <v>10570006309.65733</v>
      </c>
      <c r="Q37" s="9">
        <f t="shared" si="7"/>
        <v>68166</v>
      </c>
      <c r="R37" s="8">
        <f t="shared" si="8"/>
        <v>155062.73376254042</v>
      </c>
      <c r="S37" s="4">
        <f t="shared" si="9"/>
        <v>127930900367.04459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2000</v>
      </c>
      <c r="B50">
        <v>0</v>
      </c>
      <c r="C50">
        <v>2082.9633999999996</v>
      </c>
      <c r="D50">
        <v>0</v>
      </c>
      <c r="E50">
        <v>1093.1776799999998</v>
      </c>
      <c r="F50">
        <v>1</v>
      </c>
      <c r="G50">
        <v>452.88543999999996</v>
      </c>
      <c r="H50">
        <v>0</v>
      </c>
      <c r="I50">
        <v>196.91965999999999</v>
      </c>
      <c r="J50">
        <v>2</v>
      </c>
      <c r="K50">
        <v>80.28816599999999</v>
      </c>
      <c r="L50">
        <v>0</v>
      </c>
      <c r="M50">
        <v>28.929823999999996</v>
      </c>
      <c r="N50">
        <v>0</v>
      </c>
      <c r="O50">
        <v>10.306713199999999</v>
      </c>
      <c r="P50" s="3">
        <f>(B50*C50)+(D50*E50)+(F50*G50)+(H50*I50)+(J50*K50)+(L50*M50)+(N50*O50)</f>
        <v>613.46177199999988</v>
      </c>
      <c r="Q50" s="3"/>
    </row>
    <row r="51" spans="1:19" x14ac:dyDescent="0.2">
      <c r="A51">
        <v>4000</v>
      </c>
      <c r="B51">
        <v>0</v>
      </c>
      <c r="C51">
        <v>2082.9633999999996</v>
      </c>
      <c r="D51">
        <v>0</v>
      </c>
      <c r="E51">
        <v>1093.1776799999998</v>
      </c>
      <c r="F51">
        <v>4</v>
      </c>
      <c r="G51">
        <v>452.88543999999996</v>
      </c>
      <c r="H51">
        <v>3</v>
      </c>
      <c r="I51">
        <v>196.91965999999999</v>
      </c>
      <c r="J51">
        <v>10</v>
      </c>
      <c r="K51">
        <v>80.28816599999999</v>
      </c>
      <c r="L51">
        <v>8</v>
      </c>
      <c r="M51">
        <v>28.929823999999996</v>
      </c>
      <c r="N51">
        <v>17</v>
      </c>
      <c r="O51">
        <v>10.306713199999999</v>
      </c>
      <c r="P51" s="3">
        <f t="shared" ref="P51:P65" si="10">(B51*C51)+(D51*E51)+(F51*G51)+(H51*I51)+(J51*K51)+(L51*M51)+(N51*O51)</f>
        <v>3611.8351163999996</v>
      </c>
      <c r="Q51" s="3"/>
    </row>
    <row r="52" spans="1:19" x14ac:dyDescent="0.2">
      <c r="A52">
        <v>6000</v>
      </c>
      <c r="B52">
        <v>3</v>
      </c>
      <c r="C52">
        <v>2082.9633999999996</v>
      </c>
      <c r="D52">
        <v>1</v>
      </c>
      <c r="E52">
        <v>1093.1776799999998</v>
      </c>
      <c r="F52">
        <v>4</v>
      </c>
      <c r="G52">
        <v>452.88543999999996</v>
      </c>
      <c r="H52">
        <v>9</v>
      </c>
      <c r="I52">
        <v>196.91965999999999</v>
      </c>
      <c r="J52">
        <v>28</v>
      </c>
      <c r="K52">
        <v>80.28816599999999</v>
      </c>
      <c r="L52">
        <v>35</v>
      </c>
      <c r="M52">
        <v>28.929823999999996</v>
      </c>
      <c r="N52">
        <v>32</v>
      </c>
      <c r="O52">
        <v>10.306713199999999</v>
      </c>
      <c r="P52" s="3">
        <f t="shared" si="10"/>
        <v>14516.313890399999</v>
      </c>
      <c r="Q52" s="3"/>
    </row>
    <row r="53" spans="1:19" x14ac:dyDescent="0.2">
      <c r="A53">
        <v>8000</v>
      </c>
      <c r="B53">
        <v>2</v>
      </c>
      <c r="C53">
        <v>2082.9633999999996</v>
      </c>
      <c r="D53">
        <v>3</v>
      </c>
      <c r="E53">
        <v>1093.1776799999998</v>
      </c>
      <c r="F53">
        <v>1</v>
      </c>
      <c r="G53">
        <v>452.88543999999996</v>
      </c>
      <c r="H53">
        <v>7</v>
      </c>
      <c r="I53">
        <v>196.91965999999999</v>
      </c>
      <c r="J53">
        <v>18</v>
      </c>
      <c r="K53">
        <v>80.28816599999999</v>
      </c>
      <c r="L53">
        <v>24</v>
      </c>
      <c r="M53">
        <v>28.929823999999996</v>
      </c>
      <c r="N53">
        <v>21</v>
      </c>
      <c r="O53">
        <v>10.306713199999999</v>
      </c>
      <c r="P53" s="3">
        <f t="shared" si="10"/>
        <v>11632.726641199997</v>
      </c>
      <c r="Q53" s="3"/>
    </row>
    <row r="54" spans="1:19" x14ac:dyDescent="0.2">
      <c r="A54">
        <v>10000</v>
      </c>
      <c r="B54">
        <v>8</v>
      </c>
      <c r="C54">
        <v>2082.9633999999996</v>
      </c>
      <c r="D54">
        <v>14</v>
      </c>
      <c r="E54">
        <v>1093.1776799999998</v>
      </c>
      <c r="F54">
        <v>56</v>
      </c>
      <c r="G54">
        <v>452.88543999999996</v>
      </c>
      <c r="H54">
        <v>144</v>
      </c>
      <c r="I54">
        <v>196.91965999999999</v>
      </c>
      <c r="J54">
        <v>255</v>
      </c>
      <c r="K54">
        <v>80.28816599999999</v>
      </c>
      <c r="L54">
        <v>451</v>
      </c>
      <c r="M54">
        <v>28.929823999999996</v>
      </c>
      <c r="N54">
        <v>411</v>
      </c>
      <c r="O54">
        <v>10.306713199999999</v>
      </c>
      <c r="P54" s="3">
        <f t="shared" si="10"/>
        <v>123443.10247919998</v>
      </c>
      <c r="Q54" s="3">
        <f t="shared" ref="Q54:Q62" si="11">Q55+P54</f>
        <v>289127.16989519994</v>
      </c>
      <c r="R54">
        <v>3423700</v>
      </c>
      <c r="S54">
        <f>Q54/R54*100</f>
        <v>8.4448745478634208</v>
      </c>
    </row>
    <row r="55" spans="1:19" x14ac:dyDescent="0.2">
      <c r="A55">
        <v>20000</v>
      </c>
      <c r="B55">
        <v>1</v>
      </c>
      <c r="C55">
        <v>2082.9633999999996</v>
      </c>
      <c r="D55">
        <v>4</v>
      </c>
      <c r="E55">
        <v>1093.1776799999998</v>
      </c>
      <c r="F55">
        <v>36</v>
      </c>
      <c r="G55">
        <v>452.88543999999996</v>
      </c>
      <c r="H55">
        <v>79</v>
      </c>
      <c r="I55">
        <v>196.91965999999999</v>
      </c>
      <c r="J55">
        <v>177</v>
      </c>
      <c r="K55">
        <v>80.28816599999999</v>
      </c>
      <c r="L55">
        <v>340</v>
      </c>
      <c r="M55">
        <v>28.929823999999996</v>
      </c>
      <c r="N55">
        <v>302</v>
      </c>
      <c r="O55">
        <v>10.306713199999999</v>
      </c>
      <c r="P55" s="3">
        <f t="shared" si="10"/>
        <v>65475.976028399993</v>
      </c>
      <c r="Q55" s="3">
        <f t="shared" si="11"/>
        <v>165684.06741599998</v>
      </c>
      <c r="R55">
        <v>3423700</v>
      </c>
      <c r="S55">
        <f>Q55/R55*100</f>
        <v>4.8393278446125532</v>
      </c>
    </row>
    <row r="56" spans="1:19" x14ac:dyDescent="0.2">
      <c r="A56">
        <v>30000</v>
      </c>
      <c r="B56">
        <v>0</v>
      </c>
      <c r="C56">
        <v>2082.9633999999996</v>
      </c>
      <c r="D56">
        <v>2</v>
      </c>
      <c r="E56">
        <v>1093.1776799999998</v>
      </c>
      <c r="F56">
        <v>16</v>
      </c>
      <c r="G56">
        <v>452.88543999999996</v>
      </c>
      <c r="H56">
        <v>36</v>
      </c>
      <c r="I56">
        <v>196.91965999999999</v>
      </c>
      <c r="J56">
        <v>107</v>
      </c>
      <c r="K56">
        <v>80.28816599999999</v>
      </c>
      <c r="L56">
        <v>185</v>
      </c>
      <c r="M56">
        <v>28.929823999999996</v>
      </c>
      <c r="N56">
        <v>203</v>
      </c>
      <c r="O56">
        <v>10.306713199999999</v>
      </c>
      <c r="P56" s="3">
        <f t="shared" si="10"/>
        <v>32556.744141599993</v>
      </c>
      <c r="Q56" s="3">
        <f t="shared" si="11"/>
        <v>100208.09138759998</v>
      </c>
      <c r="R56">
        <v>3423700</v>
      </c>
      <c r="S56">
        <f>Q56/R56*100</f>
        <v>2.92689462825598</v>
      </c>
    </row>
    <row r="57" spans="1:19" x14ac:dyDescent="0.2">
      <c r="A57">
        <v>40000</v>
      </c>
      <c r="B57">
        <v>0</v>
      </c>
      <c r="C57">
        <v>2082.9633999999996</v>
      </c>
      <c r="D57">
        <v>1</v>
      </c>
      <c r="E57">
        <v>1093.1776799999998</v>
      </c>
      <c r="F57">
        <v>5</v>
      </c>
      <c r="G57">
        <v>452.88543999999996</v>
      </c>
      <c r="H57">
        <v>28</v>
      </c>
      <c r="I57">
        <v>196.91965999999999</v>
      </c>
      <c r="J57">
        <v>61</v>
      </c>
      <c r="K57">
        <v>80.28816599999999</v>
      </c>
      <c r="L57">
        <v>103</v>
      </c>
      <c r="M57">
        <v>28.929823999999996</v>
      </c>
      <c r="N57">
        <v>119</v>
      </c>
      <c r="O57">
        <v>10.306713199999999</v>
      </c>
      <c r="P57" s="3">
        <f t="shared" si="10"/>
        <v>17975.204228799998</v>
      </c>
      <c r="Q57" s="3">
        <f t="shared" si="11"/>
        <v>67651.34724599999</v>
      </c>
      <c r="R57">
        <v>3423700</v>
      </c>
      <c r="S57">
        <f t="shared" ref="S57:S63" si="12">Q57/R57*100</f>
        <v>1.9759718213044366</v>
      </c>
    </row>
    <row r="58" spans="1:19" x14ac:dyDescent="0.2">
      <c r="A58">
        <v>50000</v>
      </c>
      <c r="B58">
        <v>0</v>
      </c>
      <c r="C58">
        <v>2082.9633999999996</v>
      </c>
      <c r="D58">
        <v>3</v>
      </c>
      <c r="E58">
        <v>1093.1776799999998</v>
      </c>
      <c r="F58">
        <v>9</v>
      </c>
      <c r="G58">
        <v>452.88543999999996</v>
      </c>
      <c r="H58">
        <v>13</v>
      </c>
      <c r="I58">
        <v>196.91965999999999</v>
      </c>
      <c r="J58">
        <v>30</v>
      </c>
      <c r="K58">
        <v>80.28816599999999</v>
      </c>
      <c r="L58">
        <v>69</v>
      </c>
      <c r="M58">
        <v>28.929823999999996</v>
      </c>
      <c r="N58">
        <v>71</v>
      </c>
      <c r="O58">
        <v>10.306713199999999</v>
      </c>
      <c r="P58" s="3">
        <f t="shared" si="10"/>
        <v>15052.037053199998</v>
      </c>
      <c r="Q58" s="3">
        <f t="shared" si="11"/>
        <v>49676.143017199996</v>
      </c>
      <c r="R58">
        <v>3423700</v>
      </c>
      <c r="S58">
        <f t="shared" si="12"/>
        <v>1.4509490614598239</v>
      </c>
    </row>
    <row r="59" spans="1:19" x14ac:dyDescent="0.2">
      <c r="A59">
        <v>60000</v>
      </c>
      <c r="B59">
        <v>0</v>
      </c>
      <c r="C59">
        <v>2082.9633999999996</v>
      </c>
      <c r="D59">
        <v>0</v>
      </c>
      <c r="E59">
        <v>1093.1776799999998</v>
      </c>
      <c r="F59">
        <v>6</v>
      </c>
      <c r="G59">
        <v>452.88543999999996</v>
      </c>
      <c r="H59">
        <v>14</v>
      </c>
      <c r="I59">
        <v>196.91965999999999</v>
      </c>
      <c r="J59">
        <v>43</v>
      </c>
      <c r="K59">
        <v>80.28816599999999</v>
      </c>
      <c r="L59">
        <v>75</v>
      </c>
      <c r="M59">
        <v>28.929823999999996</v>
      </c>
      <c r="N59">
        <v>82</v>
      </c>
      <c r="O59">
        <v>10.306713199999999</v>
      </c>
      <c r="P59" s="3">
        <f t="shared" si="10"/>
        <v>11941.466300399999</v>
      </c>
      <c r="Q59" s="3">
        <f t="shared" si="11"/>
        <v>34624.105964000002</v>
      </c>
      <c r="R59">
        <v>3423700</v>
      </c>
      <c r="S59">
        <f t="shared" si="12"/>
        <v>1.011306655489675</v>
      </c>
    </row>
    <row r="60" spans="1:19" x14ac:dyDescent="0.2">
      <c r="A60">
        <v>80000</v>
      </c>
      <c r="B60">
        <v>0</v>
      </c>
      <c r="C60">
        <v>2082.9633999999996</v>
      </c>
      <c r="D60">
        <v>2</v>
      </c>
      <c r="E60">
        <v>1093.1776799999998</v>
      </c>
      <c r="F60">
        <v>6</v>
      </c>
      <c r="G60">
        <v>452.88543999999996</v>
      </c>
      <c r="H60">
        <v>8</v>
      </c>
      <c r="I60">
        <v>196.91965999999999</v>
      </c>
      <c r="J60">
        <v>12</v>
      </c>
      <c r="K60">
        <v>80.28816599999999</v>
      </c>
      <c r="L60">
        <v>37</v>
      </c>
      <c r="M60">
        <v>28.929823999999996</v>
      </c>
      <c r="N60">
        <v>50</v>
      </c>
      <c r="O60">
        <v>10.306713199999999</v>
      </c>
      <c r="P60" s="3">
        <f t="shared" si="10"/>
        <v>9028.2224200000001</v>
      </c>
      <c r="Q60" s="3">
        <f t="shared" si="11"/>
        <v>22682.639663599999</v>
      </c>
      <c r="R60">
        <v>3423700</v>
      </c>
      <c r="S60">
        <f t="shared" si="12"/>
        <v>0.66251831829891639</v>
      </c>
    </row>
    <row r="61" spans="1:19" x14ac:dyDescent="0.2">
      <c r="A61">
        <v>100000</v>
      </c>
      <c r="B61">
        <v>0</v>
      </c>
      <c r="C61">
        <v>2082.9633999999996</v>
      </c>
      <c r="D61">
        <v>0</v>
      </c>
      <c r="E61">
        <v>1093.1776799999998</v>
      </c>
      <c r="F61">
        <v>3</v>
      </c>
      <c r="G61">
        <v>452.88543999999996</v>
      </c>
      <c r="H61">
        <v>4</v>
      </c>
      <c r="I61">
        <v>196.91965999999999</v>
      </c>
      <c r="J61">
        <v>13</v>
      </c>
      <c r="K61">
        <v>80.28816599999999</v>
      </c>
      <c r="L61">
        <v>34</v>
      </c>
      <c r="M61">
        <v>28.929823999999996</v>
      </c>
      <c r="N61">
        <v>31</v>
      </c>
      <c r="O61">
        <v>10.306713199999999</v>
      </c>
      <c r="P61" s="3">
        <f t="shared" si="10"/>
        <v>4493.2032431999996</v>
      </c>
      <c r="Q61" s="3">
        <f t="shared" si="11"/>
        <v>13654.417243599999</v>
      </c>
      <c r="R61">
        <v>3423700</v>
      </c>
      <c r="S61">
        <f t="shared" si="12"/>
        <v>0.39882049372316497</v>
      </c>
    </row>
    <row r="62" spans="1:19" x14ac:dyDescent="0.2">
      <c r="A62">
        <v>120000</v>
      </c>
      <c r="B62">
        <v>0</v>
      </c>
      <c r="C62">
        <v>2082.9633999999996</v>
      </c>
      <c r="D62">
        <v>0</v>
      </c>
      <c r="E62">
        <v>1093.1776799999998</v>
      </c>
      <c r="F62">
        <v>1</v>
      </c>
      <c r="G62">
        <v>452.88543999999996</v>
      </c>
      <c r="H62">
        <v>3</v>
      </c>
      <c r="I62">
        <v>196.91965999999999</v>
      </c>
      <c r="J62">
        <v>6</v>
      </c>
      <c r="K62">
        <v>80.28816599999999</v>
      </c>
      <c r="L62">
        <v>20</v>
      </c>
      <c r="M62">
        <v>28.929823999999996</v>
      </c>
      <c r="N62">
        <v>22</v>
      </c>
      <c r="O62">
        <v>10.306713199999999</v>
      </c>
      <c r="P62" s="3">
        <f t="shared" si="10"/>
        <v>2330.7175863999996</v>
      </c>
      <c r="Q62" s="3">
        <f t="shared" si="11"/>
        <v>9161.2140003999993</v>
      </c>
      <c r="R62">
        <v>3423700</v>
      </c>
      <c r="S62">
        <f t="shared" si="12"/>
        <v>0.26758226481292163</v>
      </c>
    </row>
    <row r="63" spans="1:19" x14ac:dyDescent="0.2">
      <c r="A63">
        <v>140000</v>
      </c>
      <c r="B63">
        <v>0</v>
      </c>
      <c r="C63">
        <v>2082.9633999999996</v>
      </c>
      <c r="D63">
        <v>0</v>
      </c>
      <c r="E63">
        <v>1093.1776799999998</v>
      </c>
      <c r="F63">
        <v>0</v>
      </c>
      <c r="G63">
        <v>452.88543999999996</v>
      </c>
      <c r="H63">
        <v>3</v>
      </c>
      <c r="I63">
        <v>196.91965999999999</v>
      </c>
      <c r="J63">
        <v>10</v>
      </c>
      <c r="K63">
        <v>80.28816599999999</v>
      </c>
      <c r="L63">
        <v>30</v>
      </c>
      <c r="M63">
        <v>28.929823999999996</v>
      </c>
      <c r="N63">
        <v>48</v>
      </c>
      <c r="O63">
        <v>10.306713199999999</v>
      </c>
      <c r="P63" s="3">
        <f t="shared" si="10"/>
        <v>2756.2575935999998</v>
      </c>
      <c r="Q63" s="3">
        <f>P64+P63</f>
        <v>6830.4964139999993</v>
      </c>
      <c r="R63">
        <v>3423700</v>
      </c>
      <c r="S63">
        <f t="shared" si="12"/>
        <v>0.1995062772439174</v>
      </c>
    </row>
    <row r="64" spans="1:19" x14ac:dyDescent="0.2">
      <c r="A64" t="s">
        <v>10</v>
      </c>
      <c r="B64">
        <v>0</v>
      </c>
      <c r="C64">
        <v>2082.9633999999996</v>
      </c>
      <c r="D64">
        <v>1</v>
      </c>
      <c r="E64">
        <v>1093.1776799999998</v>
      </c>
      <c r="F64">
        <v>2</v>
      </c>
      <c r="G64">
        <v>452.88543999999996</v>
      </c>
      <c r="H64">
        <v>1</v>
      </c>
      <c r="I64">
        <v>196.91965999999999</v>
      </c>
      <c r="J64">
        <v>11</v>
      </c>
      <c r="K64">
        <v>80.28816599999999</v>
      </c>
      <c r="L64">
        <v>23</v>
      </c>
      <c r="M64">
        <v>28.929823999999996</v>
      </c>
      <c r="N64">
        <v>32</v>
      </c>
      <c r="O64">
        <v>10.306713199999999</v>
      </c>
      <c r="P64" s="3">
        <f t="shared" si="10"/>
        <v>4074.2388203999994</v>
      </c>
      <c r="Q64" s="3">
        <f>P64</f>
        <v>4074.2388203999994</v>
      </c>
      <c r="R64">
        <v>3423700</v>
      </c>
      <c r="S64">
        <f>Q64/R64*100</f>
        <v>0.11900104624821099</v>
      </c>
    </row>
    <row r="65" spans="1:19" x14ac:dyDescent="0.2">
      <c r="A65" t="s">
        <v>3</v>
      </c>
      <c r="B65">
        <v>14</v>
      </c>
      <c r="C65">
        <v>2082.9633999999996</v>
      </c>
      <c r="D65">
        <v>31</v>
      </c>
      <c r="E65">
        <v>1093.1776799999998</v>
      </c>
      <c r="F65">
        <v>150</v>
      </c>
      <c r="G65">
        <v>452.88543999999996</v>
      </c>
      <c r="H65">
        <v>352</v>
      </c>
      <c r="I65">
        <v>196.91965999999999</v>
      </c>
      <c r="J65">
        <v>783</v>
      </c>
      <c r="K65">
        <v>80.28816599999999</v>
      </c>
      <c r="L65">
        <v>1434</v>
      </c>
      <c r="M65">
        <v>28.929823999999996</v>
      </c>
      <c r="N65">
        <v>1441</v>
      </c>
      <c r="O65">
        <v>10.306713199999999</v>
      </c>
      <c r="P65" s="3">
        <f t="shared" si="10"/>
        <v>319501.5073152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10</v>
      </c>
      <c r="B73" s="14">
        <v>5.0000000000000001E-4</v>
      </c>
      <c r="C73" s="4" t="s">
        <v>69</v>
      </c>
      <c r="D73" s="5"/>
      <c r="E73" s="5"/>
      <c r="F73" s="5"/>
      <c r="G73" s="5"/>
      <c r="H73" s="5"/>
      <c r="I73" s="5"/>
      <c r="J73" s="5"/>
      <c r="K73" s="4">
        <v>1.9045089563081699</v>
      </c>
      <c r="L73" s="4">
        <v>5350.7783736976871</v>
      </c>
      <c r="M73" s="7">
        <f t="shared" ref="M73:M78" si="13">POWER(B73,1/K73)</f>
        <v>1.8481153639557261E-2</v>
      </c>
      <c r="N73" s="8">
        <f t="shared" ref="N73:N78" si="14">L73/M73</f>
        <v>289526.21021692193</v>
      </c>
      <c r="O73">
        <f t="shared" ref="O73:O78" si="15">R54</f>
        <v>3423700</v>
      </c>
      <c r="P73" s="8">
        <f>O73*(K73/(1-K73))*POWER(L73,K73)*(-1)*POWER(N73,1-K73)</f>
        <v>1043575178.0103065</v>
      </c>
      <c r="Q73" s="9">
        <f t="shared" ref="Q73:Q78" si="16">B73*O73</f>
        <v>1711.8500000000001</v>
      </c>
      <c r="R73" s="4">
        <f t="shared" ref="R73:R78" si="17">P73/Q73</f>
        <v>609618.35324958747</v>
      </c>
      <c r="S73" s="3">
        <f t="shared" ref="S73:S78" si="18">9.84*P73*1.23</f>
        <v>12630599094.494341</v>
      </c>
    </row>
    <row r="74" spans="1:19" x14ac:dyDescent="0.2">
      <c r="A74" t="s">
        <v>10</v>
      </c>
      <c r="B74" s="14">
        <v>1E-3</v>
      </c>
      <c r="C74" s="4" t="s">
        <v>69</v>
      </c>
      <c r="D74" s="5"/>
      <c r="E74" s="5"/>
      <c r="F74" s="5"/>
      <c r="G74" s="5"/>
      <c r="H74" s="5"/>
      <c r="I74" s="5"/>
      <c r="J74" s="5"/>
      <c r="K74" s="4">
        <v>1.9045089563081699</v>
      </c>
      <c r="L74" s="4">
        <v>5350.7783736976871</v>
      </c>
      <c r="M74" s="7">
        <f t="shared" si="13"/>
        <v>2.6594437897670867E-2</v>
      </c>
      <c r="N74" s="8">
        <f t="shared" si="14"/>
        <v>201199.15278097705</v>
      </c>
      <c r="O74">
        <f t="shared" si="15"/>
        <v>3423700</v>
      </c>
      <c r="P74" s="8">
        <f>O74*(K74/(1-K74))*POWER(L74,K74)*(POWER(N73,1-K74)-POWER(N74,1-K74))+P73</f>
        <v>1450414050.745996</v>
      </c>
      <c r="Q74" s="9">
        <f t="shared" si="16"/>
        <v>3423.7000000000003</v>
      </c>
      <c r="R74" s="4">
        <f t="shared" si="17"/>
        <v>423639.35238075646</v>
      </c>
      <c r="S74" s="3">
        <f t="shared" si="18"/>
        <v>17554651338.988937</v>
      </c>
    </row>
    <row r="75" spans="1:19" x14ac:dyDescent="0.2">
      <c r="A75" t="s">
        <v>73</v>
      </c>
      <c r="B75" s="14">
        <v>2.5000000000000001E-3</v>
      </c>
      <c r="C75" s="5">
        <f>S63/100</f>
        <v>1.995062772439174E-3</v>
      </c>
      <c r="D75" s="5">
        <f>S62/100</f>
        <v>2.6758226481292165E-3</v>
      </c>
      <c r="E75" s="5">
        <v>140000</v>
      </c>
      <c r="F75" s="5">
        <v>120000</v>
      </c>
      <c r="G75" s="5">
        <f>D75/C75</f>
        <v>1.3412222838771846</v>
      </c>
      <c r="H75" s="5">
        <f>LN(G75)</f>
        <v>0.29358135035200666</v>
      </c>
      <c r="I75" s="5">
        <f>E75/F75</f>
        <v>1.1666666666666667</v>
      </c>
      <c r="J75" s="5">
        <f>LN(I75)</f>
        <v>0.15415067982725836</v>
      </c>
      <c r="K75" s="4">
        <f>H75/J75</f>
        <v>1.9045089563081699</v>
      </c>
      <c r="L75" s="4">
        <f>F75*(D75^(1/K75))</f>
        <v>5350.7783736976871</v>
      </c>
      <c r="M75" s="7">
        <f t="shared" si="13"/>
        <v>4.3026603819056986E-2</v>
      </c>
      <c r="N75" s="8">
        <f t="shared" si="14"/>
        <v>124359.76579047972</v>
      </c>
      <c r="O75">
        <f t="shared" si="15"/>
        <v>3423700</v>
      </c>
      <c r="P75" s="8">
        <f>O75*(K75/(1-K75))*POWER(L75,K75)*(POWER(N74,1-K75)-POWER(N75,1-K75))+P74</f>
        <v>2241226530.4907217</v>
      </c>
      <c r="Q75" s="9">
        <f t="shared" si="16"/>
        <v>8559.25</v>
      </c>
      <c r="R75" s="4">
        <f t="shared" si="17"/>
        <v>261848.47159397398</v>
      </c>
      <c r="S75" s="3">
        <f t="shared" si="18"/>
        <v>27126012943.835304</v>
      </c>
    </row>
    <row r="76" spans="1:19" x14ac:dyDescent="0.2">
      <c r="A76" t="s">
        <v>74</v>
      </c>
      <c r="B76" s="14">
        <v>5.0000000000000001E-3</v>
      </c>
      <c r="C76" s="5">
        <f>S61/100</f>
        <v>3.9882049372316495E-3</v>
      </c>
      <c r="D76" s="5">
        <f>S60/100</f>
        <v>6.6251831829891635E-3</v>
      </c>
      <c r="E76" s="5">
        <v>100000</v>
      </c>
      <c r="F76" s="5">
        <v>80000</v>
      </c>
      <c r="G76" s="5">
        <f>D76/C76</f>
        <v>1.6611942684138823</v>
      </c>
      <c r="H76" s="5">
        <f>LN(G76)</f>
        <v>0.50753678249995771</v>
      </c>
      <c r="I76" s="5">
        <f>E76/F76</f>
        <v>1.25</v>
      </c>
      <c r="J76" s="5">
        <f>LN(I76)</f>
        <v>0.22314355131420976</v>
      </c>
      <c r="K76" s="4">
        <f>H76/J76</f>
        <v>2.2744855475804995</v>
      </c>
      <c r="L76" s="4">
        <f>F76*(D76^(1/K76))</f>
        <v>8813.6977732572032</v>
      </c>
      <c r="M76" s="7">
        <f t="shared" si="13"/>
        <v>9.7348546531036612E-2</v>
      </c>
      <c r="N76" s="8">
        <f t="shared" si="14"/>
        <v>90537.53843615143</v>
      </c>
      <c r="O76">
        <f t="shared" si="15"/>
        <v>3423700</v>
      </c>
      <c r="P76" s="8">
        <f>O76*(K76/(1-K76))*POWER(L76,K76)*(POWER(N75,1-K76)-POWER(N76,1-K76))+P75</f>
        <v>3161499197.3402338</v>
      </c>
      <c r="Q76" s="9">
        <f t="shared" si="16"/>
        <v>17118.5</v>
      </c>
      <c r="R76" s="4">
        <f t="shared" si="17"/>
        <v>184683.19054474597</v>
      </c>
      <c r="S76" s="3">
        <f t="shared" si="18"/>
        <v>38264257085.248314</v>
      </c>
    </row>
    <row r="77" spans="1:19" x14ac:dyDescent="0.2">
      <c r="A77" t="s">
        <v>72</v>
      </c>
      <c r="B77" s="14">
        <v>0.01</v>
      </c>
      <c r="C77" s="5">
        <f>S60/100</f>
        <v>6.6251831829891635E-3</v>
      </c>
      <c r="D77" s="5">
        <f>S59/100</f>
        <v>1.011306655489675E-2</v>
      </c>
      <c r="E77" s="5">
        <v>80000</v>
      </c>
      <c r="F77" s="5">
        <v>60000</v>
      </c>
      <c r="G77" s="5">
        <f>D77/C77</f>
        <v>1.5264584050842678</v>
      </c>
      <c r="H77" s="5">
        <f>LN(G77)</f>
        <v>0.42295028426882358</v>
      </c>
      <c r="I77" s="5">
        <f>E77/F77</f>
        <v>1.3333333333333333</v>
      </c>
      <c r="J77" s="5">
        <f>LN(I77)</f>
        <v>0.28768207245178085</v>
      </c>
      <c r="K77" s="4">
        <f>H77/J77</f>
        <v>1.4702003522993787</v>
      </c>
      <c r="L77" s="4">
        <f>F77*(D77^(1/K77))</f>
        <v>2637.0214717263439</v>
      </c>
      <c r="M77" s="7">
        <f t="shared" si="13"/>
        <v>4.3615533709321773E-2</v>
      </c>
      <c r="N77" s="8">
        <f t="shared" si="14"/>
        <v>60460.603080107299</v>
      </c>
      <c r="O77">
        <f t="shared" si="15"/>
        <v>3423700</v>
      </c>
      <c r="P77" s="8">
        <f>O77*(K77/(1-K77))*POWER(L77,K77)*(POWER(N76,1-K77)-POWER(N77,1-K77))+P76</f>
        <v>4280698189.433485</v>
      </c>
      <c r="Q77" s="9">
        <f t="shared" si="16"/>
        <v>34237</v>
      </c>
      <c r="R77" s="4">
        <f t="shared" si="17"/>
        <v>125031.34589577022</v>
      </c>
      <c r="S77" s="3">
        <f t="shared" si="18"/>
        <v>51810146326.351349</v>
      </c>
    </row>
    <row r="78" spans="1:19" x14ac:dyDescent="0.2">
      <c r="A78" t="s">
        <v>46</v>
      </c>
      <c r="B78" s="14">
        <v>0.02</v>
      </c>
      <c r="C78" s="5">
        <f>S57/100</f>
        <v>1.9759718213044366E-2</v>
      </c>
      <c r="D78" s="5">
        <f>S56/100</f>
        <v>2.9268946282559799E-2</v>
      </c>
      <c r="E78" s="5">
        <v>40000</v>
      </c>
      <c r="F78" s="5">
        <v>30000</v>
      </c>
      <c r="G78" s="5">
        <f>D78/C78</f>
        <v>1.4812431010902738</v>
      </c>
      <c r="H78" s="5">
        <f>LN(G78)</f>
        <v>0.39288166839865984</v>
      </c>
      <c r="I78" s="5">
        <f>E78/F78</f>
        <v>1.3333333333333333</v>
      </c>
      <c r="J78" s="5">
        <f>LN(I78)</f>
        <v>0.28768207245178085</v>
      </c>
      <c r="K78" s="4">
        <f>H78/J78</f>
        <v>1.3656800545487997</v>
      </c>
      <c r="L78" s="4">
        <f>F78*(D78^(1/K78))</f>
        <v>2260.3173969775917</v>
      </c>
      <c r="M78" s="7">
        <f t="shared" si="13"/>
        <v>5.7010273545974106E-2</v>
      </c>
      <c r="N78" s="8">
        <f t="shared" si="14"/>
        <v>39647.545194724094</v>
      </c>
      <c r="O78">
        <f t="shared" si="15"/>
        <v>3423700</v>
      </c>
      <c r="P78" s="8">
        <f>O78*(K78/(1-K78))*POWER(L78,K78)*(POWER(N77,1-K78)-POWER(N78,1-K78))+P77</f>
        <v>5730436001.6239357</v>
      </c>
      <c r="Q78" s="9">
        <f t="shared" si="16"/>
        <v>68474</v>
      </c>
      <c r="R78" s="4">
        <f t="shared" si="17"/>
        <v>83687.764722725929</v>
      </c>
      <c r="S78" s="3">
        <f t="shared" si="18"/>
        <v>69356613014.854813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19">S32+S73</f>
        <v>33067346645.149818</v>
      </c>
      <c r="C85">
        <f t="shared" ref="C85:C90" si="20">923550000000*1.23</f>
        <v>1135966500000</v>
      </c>
      <c r="F85" s="10">
        <f t="shared" ref="F85:F90" si="21">B85/C85*100</f>
        <v>2.9109438214198939</v>
      </c>
    </row>
    <row r="86" spans="1:7" ht="15" x14ac:dyDescent="0.25">
      <c r="A86" s="18">
        <v>1E-3</v>
      </c>
      <c r="B86" s="3">
        <f t="shared" si="19"/>
        <v>46190480801.413834</v>
      </c>
      <c r="C86">
        <f t="shared" si="20"/>
        <v>1135966500000</v>
      </c>
      <c r="F86" s="10">
        <f t="shared" si="21"/>
        <v>4.0661833602851702</v>
      </c>
    </row>
    <row r="87" spans="1:7" ht="15" x14ac:dyDescent="0.25">
      <c r="A87" s="18">
        <v>2.5000000000000001E-3</v>
      </c>
      <c r="B87" s="3">
        <f t="shared" si="19"/>
        <v>71852992645.103271</v>
      </c>
      <c r="C87">
        <f t="shared" si="20"/>
        <v>1135966500000</v>
      </c>
      <c r="F87" s="10">
        <f t="shared" si="21"/>
        <v>6.325273909494979</v>
      </c>
    </row>
    <row r="88" spans="1:7" ht="15" x14ac:dyDescent="0.25">
      <c r="A88" s="18">
        <v>5.0000000000000001E-3</v>
      </c>
      <c r="B88" s="3">
        <f t="shared" si="19"/>
        <v>100935392006.3121</v>
      </c>
      <c r="C88">
        <f t="shared" si="20"/>
        <v>1135966500000</v>
      </c>
      <c r="F88" s="10">
        <f t="shared" si="21"/>
        <v>8.8854197730577535</v>
      </c>
    </row>
    <row r="89" spans="1:7" ht="15" x14ac:dyDescent="0.25">
      <c r="A89" s="19">
        <v>0.01</v>
      </c>
      <c r="B89" s="3">
        <f t="shared" si="19"/>
        <v>143790725515.89117</v>
      </c>
      <c r="C89">
        <f t="shared" si="20"/>
        <v>1135966500000</v>
      </c>
      <c r="F89" s="10">
        <f t="shared" si="21"/>
        <v>12.658007565882547</v>
      </c>
    </row>
    <row r="90" spans="1:7" ht="15" x14ac:dyDescent="0.25">
      <c r="A90" s="19">
        <v>0.02</v>
      </c>
      <c r="B90" s="3">
        <f t="shared" si="19"/>
        <v>197287513381.89941</v>
      </c>
      <c r="C90">
        <f t="shared" si="20"/>
        <v>1135966500000</v>
      </c>
      <c r="F90" s="10">
        <f t="shared" si="21"/>
        <v>17.367370726328584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5.28515625" customWidth="1"/>
    <col min="2" max="2" width="16" customWidth="1"/>
    <col min="3" max="3" width="13.5703125" customWidth="1"/>
    <col min="5" max="5" width="16.140625" customWidth="1"/>
    <col min="7" max="7" width="16.140625" customWidth="1"/>
    <col min="9" max="9" width="14.5703125" customWidth="1"/>
    <col min="11" max="11" width="14.140625" customWidth="1"/>
    <col min="13" max="13" width="12.85546875" customWidth="1"/>
    <col min="14" max="14" width="14" customWidth="1"/>
    <col min="15" max="15" width="12.42578125" customWidth="1"/>
    <col min="16" max="16" width="14.5703125" customWidth="1"/>
    <col min="18" max="18" width="12.85546875" customWidth="1"/>
    <col min="19" max="19" width="16.28515625" customWidth="1"/>
    <col min="257" max="257" width="15.28515625" customWidth="1"/>
    <col min="258" max="258" width="16" customWidth="1"/>
    <col min="259" max="259" width="13.5703125" customWidth="1"/>
    <col min="261" max="261" width="16.140625" customWidth="1"/>
    <col min="263" max="263" width="16.140625" customWidth="1"/>
    <col min="265" max="265" width="14.5703125" customWidth="1"/>
    <col min="267" max="267" width="14.140625" customWidth="1"/>
    <col min="269" max="269" width="12.85546875" customWidth="1"/>
    <col min="270" max="270" width="14" customWidth="1"/>
    <col min="271" max="271" width="12.42578125" customWidth="1"/>
    <col min="272" max="272" width="14.5703125" customWidth="1"/>
    <col min="274" max="274" width="12.85546875" customWidth="1"/>
    <col min="275" max="275" width="16.28515625" customWidth="1"/>
    <col min="513" max="513" width="15.28515625" customWidth="1"/>
    <col min="514" max="514" width="16" customWidth="1"/>
    <col min="515" max="515" width="13.5703125" customWidth="1"/>
    <col min="517" max="517" width="16.140625" customWidth="1"/>
    <col min="519" max="519" width="16.140625" customWidth="1"/>
    <col min="521" max="521" width="14.5703125" customWidth="1"/>
    <col min="523" max="523" width="14.140625" customWidth="1"/>
    <col min="525" max="525" width="12.85546875" customWidth="1"/>
    <col min="526" max="526" width="14" customWidth="1"/>
    <col min="527" max="527" width="12.42578125" customWidth="1"/>
    <col min="528" max="528" width="14.5703125" customWidth="1"/>
    <col min="530" max="530" width="12.85546875" customWidth="1"/>
    <col min="531" max="531" width="16.28515625" customWidth="1"/>
    <col min="769" max="769" width="15.28515625" customWidth="1"/>
    <col min="770" max="770" width="16" customWidth="1"/>
    <col min="771" max="771" width="13.5703125" customWidth="1"/>
    <col min="773" max="773" width="16.140625" customWidth="1"/>
    <col min="775" max="775" width="16.140625" customWidth="1"/>
    <col min="777" max="777" width="14.5703125" customWidth="1"/>
    <col min="779" max="779" width="14.140625" customWidth="1"/>
    <col min="781" max="781" width="12.85546875" customWidth="1"/>
    <col min="782" max="782" width="14" customWidth="1"/>
    <col min="783" max="783" width="12.42578125" customWidth="1"/>
    <col min="784" max="784" width="14.5703125" customWidth="1"/>
    <col min="786" max="786" width="12.85546875" customWidth="1"/>
    <col min="787" max="787" width="16.28515625" customWidth="1"/>
    <col min="1025" max="1025" width="15.28515625" customWidth="1"/>
    <col min="1026" max="1026" width="16" customWidth="1"/>
    <col min="1027" max="1027" width="13.5703125" customWidth="1"/>
    <col min="1029" max="1029" width="16.140625" customWidth="1"/>
    <col min="1031" max="1031" width="16.140625" customWidth="1"/>
    <col min="1033" max="1033" width="14.5703125" customWidth="1"/>
    <col min="1035" max="1035" width="14.140625" customWidth="1"/>
    <col min="1037" max="1037" width="12.85546875" customWidth="1"/>
    <col min="1038" max="1038" width="14" customWidth="1"/>
    <col min="1039" max="1039" width="12.42578125" customWidth="1"/>
    <col min="1040" max="1040" width="14.5703125" customWidth="1"/>
    <col min="1042" max="1042" width="12.85546875" customWidth="1"/>
    <col min="1043" max="1043" width="16.28515625" customWidth="1"/>
    <col min="1281" max="1281" width="15.28515625" customWidth="1"/>
    <col min="1282" max="1282" width="16" customWidth="1"/>
    <col min="1283" max="1283" width="13.5703125" customWidth="1"/>
    <col min="1285" max="1285" width="16.140625" customWidth="1"/>
    <col min="1287" max="1287" width="16.140625" customWidth="1"/>
    <col min="1289" max="1289" width="14.5703125" customWidth="1"/>
    <col min="1291" max="1291" width="14.140625" customWidth="1"/>
    <col min="1293" max="1293" width="12.85546875" customWidth="1"/>
    <col min="1294" max="1294" width="14" customWidth="1"/>
    <col min="1295" max="1295" width="12.42578125" customWidth="1"/>
    <col min="1296" max="1296" width="14.5703125" customWidth="1"/>
    <col min="1298" max="1298" width="12.85546875" customWidth="1"/>
    <col min="1299" max="1299" width="16.28515625" customWidth="1"/>
    <col min="1537" max="1537" width="15.28515625" customWidth="1"/>
    <col min="1538" max="1538" width="16" customWidth="1"/>
    <col min="1539" max="1539" width="13.5703125" customWidth="1"/>
    <col min="1541" max="1541" width="16.140625" customWidth="1"/>
    <col min="1543" max="1543" width="16.140625" customWidth="1"/>
    <col min="1545" max="1545" width="14.5703125" customWidth="1"/>
    <col min="1547" max="1547" width="14.140625" customWidth="1"/>
    <col min="1549" max="1549" width="12.85546875" customWidth="1"/>
    <col min="1550" max="1550" width="14" customWidth="1"/>
    <col min="1551" max="1551" width="12.42578125" customWidth="1"/>
    <col min="1552" max="1552" width="14.5703125" customWidth="1"/>
    <col min="1554" max="1554" width="12.85546875" customWidth="1"/>
    <col min="1555" max="1555" width="16.28515625" customWidth="1"/>
    <col min="1793" max="1793" width="15.28515625" customWidth="1"/>
    <col min="1794" max="1794" width="16" customWidth="1"/>
    <col min="1795" max="1795" width="13.5703125" customWidth="1"/>
    <col min="1797" max="1797" width="16.140625" customWidth="1"/>
    <col min="1799" max="1799" width="16.140625" customWidth="1"/>
    <col min="1801" max="1801" width="14.5703125" customWidth="1"/>
    <col min="1803" max="1803" width="14.140625" customWidth="1"/>
    <col min="1805" max="1805" width="12.85546875" customWidth="1"/>
    <col min="1806" max="1806" width="14" customWidth="1"/>
    <col min="1807" max="1807" width="12.42578125" customWidth="1"/>
    <col min="1808" max="1808" width="14.5703125" customWidth="1"/>
    <col min="1810" max="1810" width="12.85546875" customWidth="1"/>
    <col min="1811" max="1811" width="16.28515625" customWidth="1"/>
    <col min="2049" max="2049" width="15.28515625" customWidth="1"/>
    <col min="2050" max="2050" width="16" customWidth="1"/>
    <col min="2051" max="2051" width="13.5703125" customWidth="1"/>
    <col min="2053" max="2053" width="16.140625" customWidth="1"/>
    <col min="2055" max="2055" width="16.140625" customWidth="1"/>
    <col min="2057" max="2057" width="14.5703125" customWidth="1"/>
    <col min="2059" max="2059" width="14.140625" customWidth="1"/>
    <col min="2061" max="2061" width="12.85546875" customWidth="1"/>
    <col min="2062" max="2062" width="14" customWidth="1"/>
    <col min="2063" max="2063" width="12.42578125" customWidth="1"/>
    <col min="2064" max="2064" width="14.5703125" customWidth="1"/>
    <col min="2066" max="2066" width="12.85546875" customWidth="1"/>
    <col min="2067" max="2067" width="16.28515625" customWidth="1"/>
    <col min="2305" max="2305" width="15.28515625" customWidth="1"/>
    <col min="2306" max="2306" width="16" customWidth="1"/>
    <col min="2307" max="2307" width="13.5703125" customWidth="1"/>
    <col min="2309" max="2309" width="16.140625" customWidth="1"/>
    <col min="2311" max="2311" width="16.140625" customWidth="1"/>
    <col min="2313" max="2313" width="14.5703125" customWidth="1"/>
    <col min="2315" max="2315" width="14.140625" customWidth="1"/>
    <col min="2317" max="2317" width="12.85546875" customWidth="1"/>
    <col min="2318" max="2318" width="14" customWidth="1"/>
    <col min="2319" max="2319" width="12.42578125" customWidth="1"/>
    <col min="2320" max="2320" width="14.5703125" customWidth="1"/>
    <col min="2322" max="2322" width="12.85546875" customWidth="1"/>
    <col min="2323" max="2323" width="16.28515625" customWidth="1"/>
    <col min="2561" max="2561" width="15.28515625" customWidth="1"/>
    <col min="2562" max="2562" width="16" customWidth="1"/>
    <col min="2563" max="2563" width="13.5703125" customWidth="1"/>
    <col min="2565" max="2565" width="16.140625" customWidth="1"/>
    <col min="2567" max="2567" width="16.140625" customWidth="1"/>
    <col min="2569" max="2569" width="14.5703125" customWidth="1"/>
    <col min="2571" max="2571" width="14.140625" customWidth="1"/>
    <col min="2573" max="2573" width="12.85546875" customWidth="1"/>
    <col min="2574" max="2574" width="14" customWidth="1"/>
    <col min="2575" max="2575" width="12.42578125" customWidth="1"/>
    <col min="2576" max="2576" width="14.5703125" customWidth="1"/>
    <col min="2578" max="2578" width="12.85546875" customWidth="1"/>
    <col min="2579" max="2579" width="16.28515625" customWidth="1"/>
    <col min="2817" max="2817" width="15.28515625" customWidth="1"/>
    <col min="2818" max="2818" width="16" customWidth="1"/>
    <col min="2819" max="2819" width="13.5703125" customWidth="1"/>
    <col min="2821" max="2821" width="16.140625" customWidth="1"/>
    <col min="2823" max="2823" width="16.140625" customWidth="1"/>
    <col min="2825" max="2825" width="14.5703125" customWidth="1"/>
    <col min="2827" max="2827" width="14.140625" customWidth="1"/>
    <col min="2829" max="2829" width="12.85546875" customWidth="1"/>
    <col min="2830" max="2830" width="14" customWidth="1"/>
    <col min="2831" max="2831" width="12.42578125" customWidth="1"/>
    <col min="2832" max="2832" width="14.5703125" customWidth="1"/>
    <col min="2834" max="2834" width="12.85546875" customWidth="1"/>
    <col min="2835" max="2835" width="16.28515625" customWidth="1"/>
    <col min="3073" max="3073" width="15.28515625" customWidth="1"/>
    <col min="3074" max="3074" width="16" customWidth="1"/>
    <col min="3075" max="3075" width="13.5703125" customWidth="1"/>
    <col min="3077" max="3077" width="16.140625" customWidth="1"/>
    <col min="3079" max="3079" width="16.140625" customWidth="1"/>
    <col min="3081" max="3081" width="14.5703125" customWidth="1"/>
    <col min="3083" max="3083" width="14.140625" customWidth="1"/>
    <col min="3085" max="3085" width="12.85546875" customWidth="1"/>
    <col min="3086" max="3086" width="14" customWidth="1"/>
    <col min="3087" max="3087" width="12.42578125" customWidth="1"/>
    <col min="3088" max="3088" width="14.5703125" customWidth="1"/>
    <col min="3090" max="3090" width="12.85546875" customWidth="1"/>
    <col min="3091" max="3091" width="16.28515625" customWidth="1"/>
    <col min="3329" max="3329" width="15.28515625" customWidth="1"/>
    <col min="3330" max="3330" width="16" customWidth="1"/>
    <col min="3331" max="3331" width="13.5703125" customWidth="1"/>
    <col min="3333" max="3333" width="16.140625" customWidth="1"/>
    <col min="3335" max="3335" width="16.140625" customWidth="1"/>
    <col min="3337" max="3337" width="14.5703125" customWidth="1"/>
    <col min="3339" max="3339" width="14.140625" customWidth="1"/>
    <col min="3341" max="3341" width="12.85546875" customWidth="1"/>
    <col min="3342" max="3342" width="14" customWidth="1"/>
    <col min="3343" max="3343" width="12.42578125" customWidth="1"/>
    <col min="3344" max="3344" width="14.5703125" customWidth="1"/>
    <col min="3346" max="3346" width="12.85546875" customWidth="1"/>
    <col min="3347" max="3347" width="16.28515625" customWidth="1"/>
    <col min="3585" max="3585" width="15.28515625" customWidth="1"/>
    <col min="3586" max="3586" width="16" customWidth="1"/>
    <col min="3587" max="3587" width="13.5703125" customWidth="1"/>
    <col min="3589" max="3589" width="16.140625" customWidth="1"/>
    <col min="3591" max="3591" width="16.140625" customWidth="1"/>
    <col min="3593" max="3593" width="14.5703125" customWidth="1"/>
    <col min="3595" max="3595" width="14.140625" customWidth="1"/>
    <col min="3597" max="3597" width="12.85546875" customWidth="1"/>
    <col min="3598" max="3598" width="14" customWidth="1"/>
    <col min="3599" max="3599" width="12.42578125" customWidth="1"/>
    <col min="3600" max="3600" width="14.5703125" customWidth="1"/>
    <col min="3602" max="3602" width="12.85546875" customWidth="1"/>
    <col min="3603" max="3603" width="16.28515625" customWidth="1"/>
    <col min="3841" max="3841" width="15.28515625" customWidth="1"/>
    <col min="3842" max="3842" width="16" customWidth="1"/>
    <col min="3843" max="3843" width="13.5703125" customWidth="1"/>
    <col min="3845" max="3845" width="16.140625" customWidth="1"/>
    <col min="3847" max="3847" width="16.140625" customWidth="1"/>
    <col min="3849" max="3849" width="14.5703125" customWidth="1"/>
    <col min="3851" max="3851" width="14.140625" customWidth="1"/>
    <col min="3853" max="3853" width="12.85546875" customWidth="1"/>
    <col min="3854" max="3854" width="14" customWidth="1"/>
    <col min="3855" max="3855" width="12.42578125" customWidth="1"/>
    <col min="3856" max="3856" width="14.5703125" customWidth="1"/>
    <col min="3858" max="3858" width="12.85546875" customWidth="1"/>
    <col min="3859" max="3859" width="16.28515625" customWidth="1"/>
    <col min="4097" max="4097" width="15.28515625" customWidth="1"/>
    <col min="4098" max="4098" width="16" customWidth="1"/>
    <col min="4099" max="4099" width="13.5703125" customWidth="1"/>
    <col min="4101" max="4101" width="16.140625" customWidth="1"/>
    <col min="4103" max="4103" width="16.140625" customWidth="1"/>
    <col min="4105" max="4105" width="14.5703125" customWidth="1"/>
    <col min="4107" max="4107" width="14.140625" customWidth="1"/>
    <col min="4109" max="4109" width="12.85546875" customWidth="1"/>
    <col min="4110" max="4110" width="14" customWidth="1"/>
    <col min="4111" max="4111" width="12.42578125" customWidth="1"/>
    <col min="4112" max="4112" width="14.5703125" customWidth="1"/>
    <col min="4114" max="4114" width="12.85546875" customWidth="1"/>
    <col min="4115" max="4115" width="16.28515625" customWidth="1"/>
    <col min="4353" max="4353" width="15.28515625" customWidth="1"/>
    <col min="4354" max="4354" width="16" customWidth="1"/>
    <col min="4355" max="4355" width="13.5703125" customWidth="1"/>
    <col min="4357" max="4357" width="16.140625" customWidth="1"/>
    <col min="4359" max="4359" width="16.140625" customWidth="1"/>
    <col min="4361" max="4361" width="14.5703125" customWidth="1"/>
    <col min="4363" max="4363" width="14.140625" customWidth="1"/>
    <col min="4365" max="4365" width="12.85546875" customWidth="1"/>
    <col min="4366" max="4366" width="14" customWidth="1"/>
    <col min="4367" max="4367" width="12.42578125" customWidth="1"/>
    <col min="4368" max="4368" width="14.5703125" customWidth="1"/>
    <col min="4370" max="4370" width="12.85546875" customWidth="1"/>
    <col min="4371" max="4371" width="16.28515625" customWidth="1"/>
    <col min="4609" max="4609" width="15.28515625" customWidth="1"/>
    <col min="4610" max="4610" width="16" customWidth="1"/>
    <col min="4611" max="4611" width="13.5703125" customWidth="1"/>
    <col min="4613" max="4613" width="16.140625" customWidth="1"/>
    <col min="4615" max="4615" width="16.140625" customWidth="1"/>
    <col min="4617" max="4617" width="14.5703125" customWidth="1"/>
    <col min="4619" max="4619" width="14.140625" customWidth="1"/>
    <col min="4621" max="4621" width="12.85546875" customWidth="1"/>
    <col min="4622" max="4622" width="14" customWidth="1"/>
    <col min="4623" max="4623" width="12.42578125" customWidth="1"/>
    <col min="4624" max="4624" width="14.5703125" customWidth="1"/>
    <col min="4626" max="4626" width="12.85546875" customWidth="1"/>
    <col min="4627" max="4627" width="16.28515625" customWidth="1"/>
    <col min="4865" max="4865" width="15.28515625" customWidth="1"/>
    <col min="4866" max="4866" width="16" customWidth="1"/>
    <col min="4867" max="4867" width="13.5703125" customWidth="1"/>
    <col min="4869" max="4869" width="16.140625" customWidth="1"/>
    <col min="4871" max="4871" width="16.140625" customWidth="1"/>
    <col min="4873" max="4873" width="14.5703125" customWidth="1"/>
    <col min="4875" max="4875" width="14.140625" customWidth="1"/>
    <col min="4877" max="4877" width="12.85546875" customWidth="1"/>
    <col min="4878" max="4878" width="14" customWidth="1"/>
    <col min="4879" max="4879" width="12.42578125" customWidth="1"/>
    <col min="4880" max="4880" width="14.5703125" customWidth="1"/>
    <col min="4882" max="4882" width="12.85546875" customWidth="1"/>
    <col min="4883" max="4883" width="16.28515625" customWidth="1"/>
    <col min="5121" max="5121" width="15.28515625" customWidth="1"/>
    <col min="5122" max="5122" width="16" customWidth="1"/>
    <col min="5123" max="5123" width="13.5703125" customWidth="1"/>
    <col min="5125" max="5125" width="16.140625" customWidth="1"/>
    <col min="5127" max="5127" width="16.140625" customWidth="1"/>
    <col min="5129" max="5129" width="14.5703125" customWidth="1"/>
    <col min="5131" max="5131" width="14.140625" customWidth="1"/>
    <col min="5133" max="5133" width="12.85546875" customWidth="1"/>
    <col min="5134" max="5134" width="14" customWidth="1"/>
    <col min="5135" max="5135" width="12.42578125" customWidth="1"/>
    <col min="5136" max="5136" width="14.5703125" customWidth="1"/>
    <col min="5138" max="5138" width="12.85546875" customWidth="1"/>
    <col min="5139" max="5139" width="16.28515625" customWidth="1"/>
    <col min="5377" max="5377" width="15.28515625" customWidth="1"/>
    <col min="5378" max="5378" width="16" customWidth="1"/>
    <col min="5379" max="5379" width="13.5703125" customWidth="1"/>
    <col min="5381" max="5381" width="16.140625" customWidth="1"/>
    <col min="5383" max="5383" width="16.140625" customWidth="1"/>
    <col min="5385" max="5385" width="14.5703125" customWidth="1"/>
    <col min="5387" max="5387" width="14.140625" customWidth="1"/>
    <col min="5389" max="5389" width="12.85546875" customWidth="1"/>
    <col min="5390" max="5390" width="14" customWidth="1"/>
    <col min="5391" max="5391" width="12.42578125" customWidth="1"/>
    <col min="5392" max="5392" width="14.5703125" customWidth="1"/>
    <col min="5394" max="5394" width="12.85546875" customWidth="1"/>
    <col min="5395" max="5395" width="16.28515625" customWidth="1"/>
    <col min="5633" max="5633" width="15.28515625" customWidth="1"/>
    <col min="5634" max="5634" width="16" customWidth="1"/>
    <col min="5635" max="5635" width="13.5703125" customWidth="1"/>
    <col min="5637" max="5637" width="16.140625" customWidth="1"/>
    <col min="5639" max="5639" width="16.140625" customWidth="1"/>
    <col min="5641" max="5641" width="14.5703125" customWidth="1"/>
    <col min="5643" max="5643" width="14.140625" customWidth="1"/>
    <col min="5645" max="5645" width="12.85546875" customWidth="1"/>
    <col min="5646" max="5646" width="14" customWidth="1"/>
    <col min="5647" max="5647" width="12.42578125" customWidth="1"/>
    <col min="5648" max="5648" width="14.5703125" customWidth="1"/>
    <col min="5650" max="5650" width="12.85546875" customWidth="1"/>
    <col min="5651" max="5651" width="16.28515625" customWidth="1"/>
    <col min="5889" max="5889" width="15.28515625" customWidth="1"/>
    <col min="5890" max="5890" width="16" customWidth="1"/>
    <col min="5891" max="5891" width="13.5703125" customWidth="1"/>
    <col min="5893" max="5893" width="16.140625" customWidth="1"/>
    <col min="5895" max="5895" width="16.140625" customWidth="1"/>
    <col min="5897" max="5897" width="14.5703125" customWidth="1"/>
    <col min="5899" max="5899" width="14.140625" customWidth="1"/>
    <col min="5901" max="5901" width="12.85546875" customWidth="1"/>
    <col min="5902" max="5902" width="14" customWidth="1"/>
    <col min="5903" max="5903" width="12.42578125" customWidth="1"/>
    <col min="5904" max="5904" width="14.5703125" customWidth="1"/>
    <col min="5906" max="5906" width="12.85546875" customWidth="1"/>
    <col min="5907" max="5907" width="16.28515625" customWidth="1"/>
    <col min="6145" max="6145" width="15.28515625" customWidth="1"/>
    <col min="6146" max="6146" width="16" customWidth="1"/>
    <col min="6147" max="6147" width="13.5703125" customWidth="1"/>
    <col min="6149" max="6149" width="16.140625" customWidth="1"/>
    <col min="6151" max="6151" width="16.140625" customWidth="1"/>
    <col min="6153" max="6153" width="14.5703125" customWidth="1"/>
    <col min="6155" max="6155" width="14.140625" customWidth="1"/>
    <col min="6157" max="6157" width="12.85546875" customWidth="1"/>
    <col min="6158" max="6158" width="14" customWidth="1"/>
    <col min="6159" max="6159" width="12.42578125" customWidth="1"/>
    <col min="6160" max="6160" width="14.5703125" customWidth="1"/>
    <col min="6162" max="6162" width="12.85546875" customWidth="1"/>
    <col min="6163" max="6163" width="16.28515625" customWidth="1"/>
    <col min="6401" max="6401" width="15.28515625" customWidth="1"/>
    <col min="6402" max="6402" width="16" customWidth="1"/>
    <col min="6403" max="6403" width="13.5703125" customWidth="1"/>
    <col min="6405" max="6405" width="16.140625" customWidth="1"/>
    <col min="6407" max="6407" width="16.140625" customWidth="1"/>
    <col min="6409" max="6409" width="14.5703125" customWidth="1"/>
    <col min="6411" max="6411" width="14.140625" customWidth="1"/>
    <col min="6413" max="6413" width="12.85546875" customWidth="1"/>
    <col min="6414" max="6414" width="14" customWidth="1"/>
    <col min="6415" max="6415" width="12.42578125" customWidth="1"/>
    <col min="6416" max="6416" width="14.5703125" customWidth="1"/>
    <col min="6418" max="6418" width="12.85546875" customWidth="1"/>
    <col min="6419" max="6419" width="16.28515625" customWidth="1"/>
    <col min="6657" max="6657" width="15.28515625" customWidth="1"/>
    <col min="6658" max="6658" width="16" customWidth="1"/>
    <col min="6659" max="6659" width="13.5703125" customWidth="1"/>
    <col min="6661" max="6661" width="16.140625" customWidth="1"/>
    <col min="6663" max="6663" width="16.140625" customWidth="1"/>
    <col min="6665" max="6665" width="14.5703125" customWidth="1"/>
    <col min="6667" max="6667" width="14.140625" customWidth="1"/>
    <col min="6669" max="6669" width="12.85546875" customWidth="1"/>
    <col min="6670" max="6670" width="14" customWidth="1"/>
    <col min="6671" max="6671" width="12.42578125" customWidth="1"/>
    <col min="6672" max="6672" width="14.5703125" customWidth="1"/>
    <col min="6674" max="6674" width="12.85546875" customWidth="1"/>
    <col min="6675" max="6675" width="16.28515625" customWidth="1"/>
    <col min="6913" max="6913" width="15.28515625" customWidth="1"/>
    <col min="6914" max="6914" width="16" customWidth="1"/>
    <col min="6915" max="6915" width="13.5703125" customWidth="1"/>
    <col min="6917" max="6917" width="16.140625" customWidth="1"/>
    <col min="6919" max="6919" width="16.140625" customWidth="1"/>
    <col min="6921" max="6921" width="14.5703125" customWidth="1"/>
    <col min="6923" max="6923" width="14.140625" customWidth="1"/>
    <col min="6925" max="6925" width="12.85546875" customWidth="1"/>
    <col min="6926" max="6926" width="14" customWidth="1"/>
    <col min="6927" max="6927" width="12.42578125" customWidth="1"/>
    <col min="6928" max="6928" width="14.5703125" customWidth="1"/>
    <col min="6930" max="6930" width="12.85546875" customWidth="1"/>
    <col min="6931" max="6931" width="16.28515625" customWidth="1"/>
    <col min="7169" max="7169" width="15.28515625" customWidth="1"/>
    <col min="7170" max="7170" width="16" customWidth="1"/>
    <col min="7171" max="7171" width="13.5703125" customWidth="1"/>
    <col min="7173" max="7173" width="16.140625" customWidth="1"/>
    <col min="7175" max="7175" width="16.140625" customWidth="1"/>
    <col min="7177" max="7177" width="14.5703125" customWidth="1"/>
    <col min="7179" max="7179" width="14.140625" customWidth="1"/>
    <col min="7181" max="7181" width="12.85546875" customWidth="1"/>
    <col min="7182" max="7182" width="14" customWidth="1"/>
    <col min="7183" max="7183" width="12.42578125" customWidth="1"/>
    <col min="7184" max="7184" width="14.5703125" customWidth="1"/>
    <col min="7186" max="7186" width="12.85546875" customWidth="1"/>
    <col min="7187" max="7187" width="16.28515625" customWidth="1"/>
    <col min="7425" max="7425" width="15.28515625" customWidth="1"/>
    <col min="7426" max="7426" width="16" customWidth="1"/>
    <col min="7427" max="7427" width="13.5703125" customWidth="1"/>
    <col min="7429" max="7429" width="16.140625" customWidth="1"/>
    <col min="7431" max="7431" width="16.140625" customWidth="1"/>
    <col min="7433" max="7433" width="14.5703125" customWidth="1"/>
    <col min="7435" max="7435" width="14.140625" customWidth="1"/>
    <col min="7437" max="7437" width="12.85546875" customWidth="1"/>
    <col min="7438" max="7438" width="14" customWidth="1"/>
    <col min="7439" max="7439" width="12.42578125" customWidth="1"/>
    <col min="7440" max="7440" width="14.5703125" customWidth="1"/>
    <col min="7442" max="7442" width="12.85546875" customWidth="1"/>
    <col min="7443" max="7443" width="16.28515625" customWidth="1"/>
    <col min="7681" max="7681" width="15.28515625" customWidth="1"/>
    <col min="7682" max="7682" width="16" customWidth="1"/>
    <col min="7683" max="7683" width="13.5703125" customWidth="1"/>
    <col min="7685" max="7685" width="16.140625" customWidth="1"/>
    <col min="7687" max="7687" width="16.140625" customWidth="1"/>
    <col min="7689" max="7689" width="14.5703125" customWidth="1"/>
    <col min="7691" max="7691" width="14.140625" customWidth="1"/>
    <col min="7693" max="7693" width="12.85546875" customWidth="1"/>
    <col min="7694" max="7694" width="14" customWidth="1"/>
    <col min="7695" max="7695" width="12.42578125" customWidth="1"/>
    <col min="7696" max="7696" width="14.5703125" customWidth="1"/>
    <col min="7698" max="7698" width="12.85546875" customWidth="1"/>
    <col min="7699" max="7699" width="16.28515625" customWidth="1"/>
    <col min="7937" max="7937" width="15.28515625" customWidth="1"/>
    <col min="7938" max="7938" width="16" customWidth="1"/>
    <col min="7939" max="7939" width="13.5703125" customWidth="1"/>
    <col min="7941" max="7941" width="16.140625" customWidth="1"/>
    <col min="7943" max="7943" width="16.140625" customWidth="1"/>
    <col min="7945" max="7945" width="14.5703125" customWidth="1"/>
    <col min="7947" max="7947" width="14.140625" customWidth="1"/>
    <col min="7949" max="7949" width="12.85546875" customWidth="1"/>
    <col min="7950" max="7950" width="14" customWidth="1"/>
    <col min="7951" max="7951" width="12.42578125" customWidth="1"/>
    <col min="7952" max="7952" width="14.5703125" customWidth="1"/>
    <col min="7954" max="7954" width="12.85546875" customWidth="1"/>
    <col min="7955" max="7955" width="16.28515625" customWidth="1"/>
    <col min="8193" max="8193" width="15.28515625" customWidth="1"/>
    <col min="8194" max="8194" width="16" customWidth="1"/>
    <col min="8195" max="8195" width="13.5703125" customWidth="1"/>
    <col min="8197" max="8197" width="16.140625" customWidth="1"/>
    <col min="8199" max="8199" width="16.140625" customWidth="1"/>
    <col min="8201" max="8201" width="14.5703125" customWidth="1"/>
    <col min="8203" max="8203" width="14.140625" customWidth="1"/>
    <col min="8205" max="8205" width="12.85546875" customWidth="1"/>
    <col min="8206" max="8206" width="14" customWidth="1"/>
    <col min="8207" max="8207" width="12.42578125" customWidth="1"/>
    <col min="8208" max="8208" width="14.5703125" customWidth="1"/>
    <col min="8210" max="8210" width="12.85546875" customWidth="1"/>
    <col min="8211" max="8211" width="16.28515625" customWidth="1"/>
    <col min="8449" max="8449" width="15.28515625" customWidth="1"/>
    <col min="8450" max="8450" width="16" customWidth="1"/>
    <col min="8451" max="8451" width="13.5703125" customWidth="1"/>
    <col min="8453" max="8453" width="16.140625" customWidth="1"/>
    <col min="8455" max="8455" width="16.140625" customWidth="1"/>
    <col min="8457" max="8457" width="14.5703125" customWidth="1"/>
    <col min="8459" max="8459" width="14.140625" customWidth="1"/>
    <col min="8461" max="8461" width="12.85546875" customWidth="1"/>
    <col min="8462" max="8462" width="14" customWidth="1"/>
    <col min="8463" max="8463" width="12.42578125" customWidth="1"/>
    <col min="8464" max="8464" width="14.5703125" customWidth="1"/>
    <col min="8466" max="8466" width="12.85546875" customWidth="1"/>
    <col min="8467" max="8467" width="16.28515625" customWidth="1"/>
    <col min="8705" max="8705" width="15.28515625" customWidth="1"/>
    <col min="8706" max="8706" width="16" customWidth="1"/>
    <col min="8707" max="8707" width="13.5703125" customWidth="1"/>
    <col min="8709" max="8709" width="16.140625" customWidth="1"/>
    <col min="8711" max="8711" width="16.140625" customWidth="1"/>
    <col min="8713" max="8713" width="14.5703125" customWidth="1"/>
    <col min="8715" max="8715" width="14.140625" customWidth="1"/>
    <col min="8717" max="8717" width="12.85546875" customWidth="1"/>
    <col min="8718" max="8718" width="14" customWidth="1"/>
    <col min="8719" max="8719" width="12.42578125" customWidth="1"/>
    <col min="8720" max="8720" width="14.5703125" customWidth="1"/>
    <col min="8722" max="8722" width="12.85546875" customWidth="1"/>
    <col min="8723" max="8723" width="16.28515625" customWidth="1"/>
    <col min="8961" max="8961" width="15.28515625" customWidth="1"/>
    <col min="8962" max="8962" width="16" customWidth="1"/>
    <col min="8963" max="8963" width="13.5703125" customWidth="1"/>
    <col min="8965" max="8965" width="16.140625" customWidth="1"/>
    <col min="8967" max="8967" width="16.140625" customWidth="1"/>
    <col min="8969" max="8969" width="14.5703125" customWidth="1"/>
    <col min="8971" max="8971" width="14.140625" customWidth="1"/>
    <col min="8973" max="8973" width="12.85546875" customWidth="1"/>
    <col min="8974" max="8974" width="14" customWidth="1"/>
    <col min="8975" max="8975" width="12.42578125" customWidth="1"/>
    <col min="8976" max="8976" width="14.5703125" customWidth="1"/>
    <col min="8978" max="8978" width="12.85546875" customWidth="1"/>
    <col min="8979" max="8979" width="16.28515625" customWidth="1"/>
    <col min="9217" max="9217" width="15.28515625" customWidth="1"/>
    <col min="9218" max="9218" width="16" customWidth="1"/>
    <col min="9219" max="9219" width="13.5703125" customWidth="1"/>
    <col min="9221" max="9221" width="16.140625" customWidth="1"/>
    <col min="9223" max="9223" width="16.140625" customWidth="1"/>
    <col min="9225" max="9225" width="14.5703125" customWidth="1"/>
    <col min="9227" max="9227" width="14.140625" customWidth="1"/>
    <col min="9229" max="9229" width="12.85546875" customWidth="1"/>
    <col min="9230" max="9230" width="14" customWidth="1"/>
    <col min="9231" max="9231" width="12.42578125" customWidth="1"/>
    <col min="9232" max="9232" width="14.5703125" customWidth="1"/>
    <col min="9234" max="9234" width="12.85546875" customWidth="1"/>
    <col min="9235" max="9235" width="16.28515625" customWidth="1"/>
    <col min="9473" max="9473" width="15.28515625" customWidth="1"/>
    <col min="9474" max="9474" width="16" customWidth="1"/>
    <col min="9475" max="9475" width="13.5703125" customWidth="1"/>
    <col min="9477" max="9477" width="16.140625" customWidth="1"/>
    <col min="9479" max="9479" width="16.140625" customWidth="1"/>
    <col min="9481" max="9481" width="14.5703125" customWidth="1"/>
    <col min="9483" max="9483" width="14.140625" customWidth="1"/>
    <col min="9485" max="9485" width="12.85546875" customWidth="1"/>
    <col min="9486" max="9486" width="14" customWidth="1"/>
    <col min="9487" max="9487" width="12.42578125" customWidth="1"/>
    <col min="9488" max="9488" width="14.5703125" customWidth="1"/>
    <col min="9490" max="9490" width="12.85546875" customWidth="1"/>
    <col min="9491" max="9491" width="16.28515625" customWidth="1"/>
    <col min="9729" max="9729" width="15.28515625" customWidth="1"/>
    <col min="9730" max="9730" width="16" customWidth="1"/>
    <col min="9731" max="9731" width="13.5703125" customWidth="1"/>
    <col min="9733" max="9733" width="16.140625" customWidth="1"/>
    <col min="9735" max="9735" width="16.140625" customWidth="1"/>
    <col min="9737" max="9737" width="14.5703125" customWidth="1"/>
    <col min="9739" max="9739" width="14.140625" customWidth="1"/>
    <col min="9741" max="9741" width="12.85546875" customWidth="1"/>
    <col min="9742" max="9742" width="14" customWidth="1"/>
    <col min="9743" max="9743" width="12.42578125" customWidth="1"/>
    <col min="9744" max="9744" width="14.5703125" customWidth="1"/>
    <col min="9746" max="9746" width="12.85546875" customWidth="1"/>
    <col min="9747" max="9747" width="16.28515625" customWidth="1"/>
    <col min="9985" max="9985" width="15.28515625" customWidth="1"/>
    <col min="9986" max="9986" width="16" customWidth="1"/>
    <col min="9987" max="9987" width="13.5703125" customWidth="1"/>
    <col min="9989" max="9989" width="16.140625" customWidth="1"/>
    <col min="9991" max="9991" width="16.140625" customWidth="1"/>
    <col min="9993" max="9993" width="14.5703125" customWidth="1"/>
    <col min="9995" max="9995" width="14.140625" customWidth="1"/>
    <col min="9997" max="9997" width="12.85546875" customWidth="1"/>
    <col min="9998" max="9998" width="14" customWidth="1"/>
    <col min="9999" max="9999" width="12.42578125" customWidth="1"/>
    <col min="10000" max="10000" width="14.5703125" customWidth="1"/>
    <col min="10002" max="10002" width="12.85546875" customWidth="1"/>
    <col min="10003" max="10003" width="16.28515625" customWidth="1"/>
    <col min="10241" max="10241" width="15.28515625" customWidth="1"/>
    <col min="10242" max="10242" width="16" customWidth="1"/>
    <col min="10243" max="10243" width="13.5703125" customWidth="1"/>
    <col min="10245" max="10245" width="16.140625" customWidth="1"/>
    <col min="10247" max="10247" width="16.140625" customWidth="1"/>
    <col min="10249" max="10249" width="14.5703125" customWidth="1"/>
    <col min="10251" max="10251" width="14.140625" customWidth="1"/>
    <col min="10253" max="10253" width="12.85546875" customWidth="1"/>
    <col min="10254" max="10254" width="14" customWidth="1"/>
    <col min="10255" max="10255" width="12.42578125" customWidth="1"/>
    <col min="10256" max="10256" width="14.5703125" customWidth="1"/>
    <col min="10258" max="10258" width="12.85546875" customWidth="1"/>
    <col min="10259" max="10259" width="16.28515625" customWidth="1"/>
    <col min="10497" max="10497" width="15.28515625" customWidth="1"/>
    <col min="10498" max="10498" width="16" customWidth="1"/>
    <col min="10499" max="10499" width="13.5703125" customWidth="1"/>
    <col min="10501" max="10501" width="16.140625" customWidth="1"/>
    <col min="10503" max="10503" width="16.140625" customWidth="1"/>
    <col min="10505" max="10505" width="14.5703125" customWidth="1"/>
    <col min="10507" max="10507" width="14.140625" customWidth="1"/>
    <col min="10509" max="10509" width="12.85546875" customWidth="1"/>
    <col min="10510" max="10510" width="14" customWidth="1"/>
    <col min="10511" max="10511" width="12.42578125" customWidth="1"/>
    <col min="10512" max="10512" width="14.5703125" customWidth="1"/>
    <col min="10514" max="10514" width="12.85546875" customWidth="1"/>
    <col min="10515" max="10515" width="16.28515625" customWidth="1"/>
    <col min="10753" max="10753" width="15.28515625" customWidth="1"/>
    <col min="10754" max="10754" width="16" customWidth="1"/>
    <col min="10755" max="10755" width="13.5703125" customWidth="1"/>
    <col min="10757" max="10757" width="16.140625" customWidth="1"/>
    <col min="10759" max="10759" width="16.140625" customWidth="1"/>
    <col min="10761" max="10761" width="14.5703125" customWidth="1"/>
    <col min="10763" max="10763" width="14.140625" customWidth="1"/>
    <col min="10765" max="10765" width="12.85546875" customWidth="1"/>
    <col min="10766" max="10766" width="14" customWidth="1"/>
    <col min="10767" max="10767" width="12.42578125" customWidth="1"/>
    <col min="10768" max="10768" width="14.5703125" customWidth="1"/>
    <col min="10770" max="10770" width="12.85546875" customWidth="1"/>
    <col min="10771" max="10771" width="16.28515625" customWidth="1"/>
    <col min="11009" max="11009" width="15.28515625" customWidth="1"/>
    <col min="11010" max="11010" width="16" customWidth="1"/>
    <col min="11011" max="11011" width="13.5703125" customWidth="1"/>
    <col min="11013" max="11013" width="16.140625" customWidth="1"/>
    <col min="11015" max="11015" width="16.140625" customWidth="1"/>
    <col min="11017" max="11017" width="14.5703125" customWidth="1"/>
    <col min="11019" max="11019" width="14.140625" customWidth="1"/>
    <col min="11021" max="11021" width="12.85546875" customWidth="1"/>
    <col min="11022" max="11022" width="14" customWidth="1"/>
    <col min="11023" max="11023" width="12.42578125" customWidth="1"/>
    <col min="11024" max="11024" width="14.5703125" customWidth="1"/>
    <col min="11026" max="11026" width="12.85546875" customWidth="1"/>
    <col min="11027" max="11027" width="16.28515625" customWidth="1"/>
    <col min="11265" max="11265" width="15.28515625" customWidth="1"/>
    <col min="11266" max="11266" width="16" customWidth="1"/>
    <col min="11267" max="11267" width="13.5703125" customWidth="1"/>
    <col min="11269" max="11269" width="16.140625" customWidth="1"/>
    <col min="11271" max="11271" width="16.140625" customWidth="1"/>
    <col min="11273" max="11273" width="14.5703125" customWidth="1"/>
    <col min="11275" max="11275" width="14.140625" customWidth="1"/>
    <col min="11277" max="11277" width="12.85546875" customWidth="1"/>
    <col min="11278" max="11278" width="14" customWidth="1"/>
    <col min="11279" max="11279" width="12.42578125" customWidth="1"/>
    <col min="11280" max="11280" width="14.5703125" customWidth="1"/>
    <col min="11282" max="11282" width="12.85546875" customWidth="1"/>
    <col min="11283" max="11283" width="16.28515625" customWidth="1"/>
    <col min="11521" max="11521" width="15.28515625" customWidth="1"/>
    <col min="11522" max="11522" width="16" customWidth="1"/>
    <col min="11523" max="11523" width="13.5703125" customWidth="1"/>
    <col min="11525" max="11525" width="16.140625" customWidth="1"/>
    <col min="11527" max="11527" width="16.140625" customWidth="1"/>
    <col min="11529" max="11529" width="14.5703125" customWidth="1"/>
    <col min="11531" max="11531" width="14.140625" customWidth="1"/>
    <col min="11533" max="11533" width="12.85546875" customWidth="1"/>
    <col min="11534" max="11534" width="14" customWidth="1"/>
    <col min="11535" max="11535" width="12.42578125" customWidth="1"/>
    <col min="11536" max="11536" width="14.5703125" customWidth="1"/>
    <col min="11538" max="11538" width="12.85546875" customWidth="1"/>
    <col min="11539" max="11539" width="16.28515625" customWidth="1"/>
    <col min="11777" max="11777" width="15.28515625" customWidth="1"/>
    <col min="11778" max="11778" width="16" customWidth="1"/>
    <col min="11779" max="11779" width="13.5703125" customWidth="1"/>
    <col min="11781" max="11781" width="16.140625" customWidth="1"/>
    <col min="11783" max="11783" width="16.140625" customWidth="1"/>
    <col min="11785" max="11785" width="14.5703125" customWidth="1"/>
    <col min="11787" max="11787" width="14.140625" customWidth="1"/>
    <col min="11789" max="11789" width="12.85546875" customWidth="1"/>
    <col min="11790" max="11790" width="14" customWidth="1"/>
    <col min="11791" max="11791" width="12.42578125" customWidth="1"/>
    <col min="11792" max="11792" width="14.5703125" customWidth="1"/>
    <col min="11794" max="11794" width="12.85546875" customWidth="1"/>
    <col min="11795" max="11795" width="16.28515625" customWidth="1"/>
    <col min="12033" max="12033" width="15.28515625" customWidth="1"/>
    <col min="12034" max="12034" width="16" customWidth="1"/>
    <col min="12035" max="12035" width="13.5703125" customWidth="1"/>
    <col min="12037" max="12037" width="16.140625" customWidth="1"/>
    <col min="12039" max="12039" width="16.140625" customWidth="1"/>
    <col min="12041" max="12041" width="14.5703125" customWidth="1"/>
    <col min="12043" max="12043" width="14.140625" customWidth="1"/>
    <col min="12045" max="12045" width="12.85546875" customWidth="1"/>
    <col min="12046" max="12046" width="14" customWidth="1"/>
    <col min="12047" max="12047" width="12.42578125" customWidth="1"/>
    <col min="12048" max="12048" width="14.5703125" customWidth="1"/>
    <col min="12050" max="12050" width="12.85546875" customWidth="1"/>
    <col min="12051" max="12051" width="16.28515625" customWidth="1"/>
    <col min="12289" max="12289" width="15.28515625" customWidth="1"/>
    <col min="12290" max="12290" width="16" customWidth="1"/>
    <col min="12291" max="12291" width="13.5703125" customWidth="1"/>
    <col min="12293" max="12293" width="16.140625" customWidth="1"/>
    <col min="12295" max="12295" width="16.140625" customWidth="1"/>
    <col min="12297" max="12297" width="14.5703125" customWidth="1"/>
    <col min="12299" max="12299" width="14.140625" customWidth="1"/>
    <col min="12301" max="12301" width="12.85546875" customWidth="1"/>
    <col min="12302" max="12302" width="14" customWidth="1"/>
    <col min="12303" max="12303" width="12.42578125" customWidth="1"/>
    <col min="12304" max="12304" width="14.5703125" customWidth="1"/>
    <col min="12306" max="12306" width="12.85546875" customWidth="1"/>
    <col min="12307" max="12307" width="16.28515625" customWidth="1"/>
    <col min="12545" max="12545" width="15.28515625" customWidth="1"/>
    <col min="12546" max="12546" width="16" customWidth="1"/>
    <col min="12547" max="12547" width="13.5703125" customWidth="1"/>
    <col min="12549" max="12549" width="16.140625" customWidth="1"/>
    <col min="12551" max="12551" width="16.140625" customWidth="1"/>
    <col min="12553" max="12553" width="14.5703125" customWidth="1"/>
    <col min="12555" max="12555" width="14.140625" customWidth="1"/>
    <col min="12557" max="12557" width="12.85546875" customWidth="1"/>
    <col min="12558" max="12558" width="14" customWidth="1"/>
    <col min="12559" max="12559" width="12.42578125" customWidth="1"/>
    <col min="12560" max="12560" width="14.5703125" customWidth="1"/>
    <col min="12562" max="12562" width="12.85546875" customWidth="1"/>
    <col min="12563" max="12563" width="16.28515625" customWidth="1"/>
    <col min="12801" max="12801" width="15.28515625" customWidth="1"/>
    <col min="12802" max="12802" width="16" customWidth="1"/>
    <col min="12803" max="12803" width="13.5703125" customWidth="1"/>
    <col min="12805" max="12805" width="16.140625" customWidth="1"/>
    <col min="12807" max="12807" width="16.140625" customWidth="1"/>
    <col min="12809" max="12809" width="14.5703125" customWidth="1"/>
    <col min="12811" max="12811" width="14.140625" customWidth="1"/>
    <col min="12813" max="12813" width="12.85546875" customWidth="1"/>
    <col min="12814" max="12814" width="14" customWidth="1"/>
    <col min="12815" max="12815" width="12.42578125" customWidth="1"/>
    <col min="12816" max="12816" width="14.5703125" customWidth="1"/>
    <col min="12818" max="12818" width="12.85546875" customWidth="1"/>
    <col min="12819" max="12819" width="16.28515625" customWidth="1"/>
    <col min="13057" max="13057" width="15.28515625" customWidth="1"/>
    <col min="13058" max="13058" width="16" customWidth="1"/>
    <col min="13059" max="13059" width="13.5703125" customWidth="1"/>
    <col min="13061" max="13061" width="16.140625" customWidth="1"/>
    <col min="13063" max="13063" width="16.140625" customWidth="1"/>
    <col min="13065" max="13065" width="14.5703125" customWidth="1"/>
    <col min="13067" max="13067" width="14.140625" customWidth="1"/>
    <col min="13069" max="13069" width="12.85546875" customWidth="1"/>
    <col min="13070" max="13070" width="14" customWidth="1"/>
    <col min="13071" max="13071" width="12.42578125" customWidth="1"/>
    <col min="13072" max="13072" width="14.5703125" customWidth="1"/>
    <col min="13074" max="13074" width="12.85546875" customWidth="1"/>
    <col min="13075" max="13075" width="16.28515625" customWidth="1"/>
    <col min="13313" max="13313" width="15.28515625" customWidth="1"/>
    <col min="13314" max="13314" width="16" customWidth="1"/>
    <col min="13315" max="13315" width="13.5703125" customWidth="1"/>
    <col min="13317" max="13317" width="16.140625" customWidth="1"/>
    <col min="13319" max="13319" width="16.140625" customWidth="1"/>
    <col min="13321" max="13321" width="14.5703125" customWidth="1"/>
    <col min="13323" max="13323" width="14.140625" customWidth="1"/>
    <col min="13325" max="13325" width="12.85546875" customWidth="1"/>
    <col min="13326" max="13326" width="14" customWidth="1"/>
    <col min="13327" max="13327" width="12.42578125" customWidth="1"/>
    <col min="13328" max="13328" width="14.5703125" customWidth="1"/>
    <col min="13330" max="13330" width="12.85546875" customWidth="1"/>
    <col min="13331" max="13331" width="16.28515625" customWidth="1"/>
    <col min="13569" max="13569" width="15.28515625" customWidth="1"/>
    <col min="13570" max="13570" width="16" customWidth="1"/>
    <col min="13571" max="13571" width="13.5703125" customWidth="1"/>
    <col min="13573" max="13573" width="16.140625" customWidth="1"/>
    <col min="13575" max="13575" width="16.140625" customWidth="1"/>
    <col min="13577" max="13577" width="14.5703125" customWidth="1"/>
    <col min="13579" max="13579" width="14.140625" customWidth="1"/>
    <col min="13581" max="13581" width="12.85546875" customWidth="1"/>
    <col min="13582" max="13582" width="14" customWidth="1"/>
    <col min="13583" max="13583" width="12.42578125" customWidth="1"/>
    <col min="13584" max="13584" width="14.5703125" customWidth="1"/>
    <col min="13586" max="13586" width="12.85546875" customWidth="1"/>
    <col min="13587" max="13587" width="16.28515625" customWidth="1"/>
    <col min="13825" max="13825" width="15.28515625" customWidth="1"/>
    <col min="13826" max="13826" width="16" customWidth="1"/>
    <col min="13827" max="13827" width="13.5703125" customWidth="1"/>
    <col min="13829" max="13829" width="16.140625" customWidth="1"/>
    <col min="13831" max="13831" width="16.140625" customWidth="1"/>
    <col min="13833" max="13833" width="14.5703125" customWidth="1"/>
    <col min="13835" max="13835" width="14.140625" customWidth="1"/>
    <col min="13837" max="13837" width="12.85546875" customWidth="1"/>
    <col min="13838" max="13838" width="14" customWidth="1"/>
    <col min="13839" max="13839" width="12.42578125" customWidth="1"/>
    <col min="13840" max="13840" width="14.5703125" customWidth="1"/>
    <col min="13842" max="13842" width="12.85546875" customWidth="1"/>
    <col min="13843" max="13843" width="16.28515625" customWidth="1"/>
    <col min="14081" max="14081" width="15.28515625" customWidth="1"/>
    <col min="14082" max="14082" width="16" customWidth="1"/>
    <col min="14083" max="14083" width="13.5703125" customWidth="1"/>
    <col min="14085" max="14085" width="16.140625" customWidth="1"/>
    <col min="14087" max="14087" width="16.140625" customWidth="1"/>
    <col min="14089" max="14089" width="14.5703125" customWidth="1"/>
    <col min="14091" max="14091" width="14.140625" customWidth="1"/>
    <col min="14093" max="14093" width="12.85546875" customWidth="1"/>
    <col min="14094" max="14094" width="14" customWidth="1"/>
    <col min="14095" max="14095" width="12.42578125" customWidth="1"/>
    <col min="14096" max="14096" width="14.5703125" customWidth="1"/>
    <col min="14098" max="14098" width="12.85546875" customWidth="1"/>
    <col min="14099" max="14099" width="16.28515625" customWidth="1"/>
    <col min="14337" max="14337" width="15.28515625" customWidth="1"/>
    <col min="14338" max="14338" width="16" customWidth="1"/>
    <col min="14339" max="14339" width="13.5703125" customWidth="1"/>
    <col min="14341" max="14341" width="16.140625" customWidth="1"/>
    <col min="14343" max="14343" width="16.140625" customWidth="1"/>
    <col min="14345" max="14345" width="14.5703125" customWidth="1"/>
    <col min="14347" max="14347" width="14.140625" customWidth="1"/>
    <col min="14349" max="14349" width="12.85546875" customWidth="1"/>
    <col min="14350" max="14350" width="14" customWidth="1"/>
    <col min="14351" max="14351" width="12.42578125" customWidth="1"/>
    <col min="14352" max="14352" width="14.5703125" customWidth="1"/>
    <col min="14354" max="14354" width="12.85546875" customWidth="1"/>
    <col min="14355" max="14355" width="16.28515625" customWidth="1"/>
    <col min="14593" max="14593" width="15.28515625" customWidth="1"/>
    <col min="14594" max="14594" width="16" customWidth="1"/>
    <col min="14595" max="14595" width="13.5703125" customWidth="1"/>
    <col min="14597" max="14597" width="16.140625" customWidth="1"/>
    <col min="14599" max="14599" width="16.140625" customWidth="1"/>
    <col min="14601" max="14601" width="14.5703125" customWidth="1"/>
    <col min="14603" max="14603" width="14.140625" customWidth="1"/>
    <col min="14605" max="14605" width="12.85546875" customWidth="1"/>
    <col min="14606" max="14606" width="14" customWidth="1"/>
    <col min="14607" max="14607" width="12.42578125" customWidth="1"/>
    <col min="14608" max="14608" width="14.5703125" customWidth="1"/>
    <col min="14610" max="14610" width="12.85546875" customWidth="1"/>
    <col min="14611" max="14611" width="16.28515625" customWidth="1"/>
    <col min="14849" max="14849" width="15.28515625" customWidth="1"/>
    <col min="14850" max="14850" width="16" customWidth="1"/>
    <col min="14851" max="14851" width="13.5703125" customWidth="1"/>
    <col min="14853" max="14853" width="16.140625" customWidth="1"/>
    <col min="14855" max="14855" width="16.140625" customWidth="1"/>
    <col min="14857" max="14857" width="14.5703125" customWidth="1"/>
    <col min="14859" max="14859" width="14.140625" customWidth="1"/>
    <col min="14861" max="14861" width="12.85546875" customWidth="1"/>
    <col min="14862" max="14862" width="14" customWidth="1"/>
    <col min="14863" max="14863" width="12.42578125" customWidth="1"/>
    <col min="14864" max="14864" width="14.5703125" customWidth="1"/>
    <col min="14866" max="14866" width="12.85546875" customWidth="1"/>
    <col min="14867" max="14867" width="16.28515625" customWidth="1"/>
    <col min="15105" max="15105" width="15.28515625" customWidth="1"/>
    <col min="15106" max="15106" width="16" customWidth="1"/>
    <col min="15107" max="15107" width="13.5703125" customWidth="1"/>
    <col min="15109" max="15109" width="16.140625" customWidth="1"/>
    <col min="15111" max="15111" width="16.140625" customWidth="1"/>
    <col min="15113" max="15113" width="14.5703125" customWidth="1"/>
    <col min="15115" max="15115" width="14.140625" customWidth="1"/>
    <col min="15117" max="15117" width="12.85546875" customWidth="1"/>
    <col min="15118" max="15118" width="14" customWidth="1"/>
    <col min="15119" max="15119" width="12.42578125" customWidth="1"/>
    <col min="15120" max="15120" width="14.5703125" customWidth="1"/>
    <col min="15122" max="15122" width="12.85546875" customWidth="1"/>
    <col min="15123" max="15123" width="16.28515625" customWidth="1"/>
    <col min="15361" max="15361" width="15.28515625" customWidth="1"/>
    <col min="15362" max="15362" width="16" customWidth="1"/>
    <col min="15363" max="15363" width="13.5703125" customWidth="1"/>
    <col min="15365" max="15365" width="16.140625" customWidth="1"/>
    <col min="15367" max="15367" width="16.140625" customWidth="1"/>
    <col min="15369" max="15369" width="14.5703125" customWidth="1"/>
    <col min="15371" max="15371" width="14.140625" customWidth="1"/>
    <col min="15373" max="15373" width="12.85546875" customWidth="1"/>
    <col min="15374" max="15374" width="14" customWidth="1"/>
    <col min="15375" max="15375" width="12.42578125" customWidth="1"/>
    <col min="15376" max="15376" width="14.5703125" customWidth="1"/>
    <col min="15378" max="15378" width="12.85546875" customWidth="1"/>
    <col min="15379" max="15379" width="16.28515625" customWidth="1"/>
    <col min="15617" max="15617" width="15.28515625" customWidth="1"/>
    <col min="15618" max="15618" width="16" customWidth="1"/>
    <col min="15619" max="15619" width="13.5703125" customWidth="1"/>
    <col min="15621" max="15621" width="16.140625" customWidth="1"/>
    <col min="15623" max="15623" width="16.140625" customWidth="1"/>
    <col min="15625" max="15625" width="14.5703125" customWidth="1"/>
    <col min="15627" max="15627" width="14.140625" customWidth="1"/>
    <col min="15629" max="15629" width="12.85546875" customWidth="1"/>
    <col min="15630" max="15630" width="14" customWidth="1"/>
    <col min="15631" max="15631" width="12.42578125" customWidth="1"/>
    <col min="15632" max="15632" width="14.5703125" customWidth="1"/>
    <col min="15634" max="15634" width="12.85546875" customWidth="1"/>
    <col min="15635" max="15635" width="16.28515625" customWidth="1"/>
    <col min="15873" max="15873" width="15.28515625" customWidth="1"/>
    <col min="15874" max="15874" width="16" customWidth="1"/>
    <col min="15875" max="15875" width="13.5703125" customWidth="1"/>
    <col min="15877" max="15877" width="16.140625" customWidth="1"/>
    <col min="15879" max="15879" width="16.140625" customWidth="1"/>
    <col min="15881" max="15881" width="14.5703125" customWidth="1"/>
    <col min="15883" max="15883" width="14.140625" customWidth="1"/>
    <col min="15885" max="15885" width="12.85546875" customWidth="1"/>
    <col min="15886" max="15886" width="14" customWidth="1"/>
    <col min="15887" max="15887" width="12.42578125" customWidth="1"/>
    <col min="15888" max="15888" width="14.5703125" customWidth="1"/>
    <col min="15890" max="15890" width="12.85546875" customWidth="1"/>
    <col min="15891" max="15891" width="16.28515625" customWidth="1"/>
    <col min="16129" max="16129" width="15.28515625" customWidth="1"/>
    <col min="16130" max="16130" width="16" customWidth="1"/>
    <col min="16131" max="16131" width="13.5703125" customWidth="1"/>
    <col min="16133" max="16133" width="16.140625" customWidth="1"/>
    <col min="16135" max="16135" width="16.140625" customWidth="1"/>
    <col min="16137" max="16137" width="14.5703125" customWidth="1"/>
    <col min="16139" max="16139" width="14.140625" customWidth="1"/>
    <col min="16141" max="16141" width="12.85546875" customWidth="1"/>
    <col min="16142" max="16142" width="14" customWidth="1"/>
    <col min="16143" max="16143" width="12.42578125" customWidth="1"/>
    <col min="16144" max="16144" width="14.5703125" customWidth="1"/>
    <col min="16146" max="16146" width="12.85546875" customWidth="1"/>
    <col min="16147" max="16147" width="16.2851562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2000</v>
      </c>
      <c r="B6">
        <v>0</v>
      </c>
      <c r="C6">
        <v>911.7806599999999</v>
      </c>
      <c r="D6">
        <v>0</v>
      </c>
      <c r="E6">
        <v>682.06725999999992</v>
      </c>
      <c r="F6">
        <v>1</v>
      </c>
      <c r="G6">
        <v>287.75655999999998</v>
      </c>
      <c r="H6">
        <v>0</v>
      </c>
      <c r="I6">
        <v>103.10108199999999</v>
      </c>
      <c r="J6">
        <v>0</v>
      </c>
      <c r="K6">
        <v>40.753132000000001</v>
      </c>
      <c r="L6">
        <v>2</v>
      </c>
      <c r="M6">
        <v>18.138106000000001</v>
      </c>
      <c r="N6">
        <v>0</v>
      </c>
      <c r="O6">
        <v>8.5823919999999987</v>
      </c>
      <c r="P6" s="3">
        <f>(B6*C6)+(D6*E6)+(F6*G6)+(H6*I6)+(J6*K6)+(L6*M6)+(N6*O6)</f>
        <v>324.03277199999997</v>
      </c>
    </row>
    <row r="7" spans="1:19" x14ac:dyDescent="0.2">
      <c r="A7">
        <v>4000</v>
      </c>
      <c r="B7">
        <v>1</v>
      </c>
      <c r="C7">
        <v>911.7806599999999</v>
      </c>
      <c r="D7">
        <v>1</v>
      </c>
      <c r="E7">
        <v>682.06725999999992</v>
      </c>
      <c r="F7">
        <v>1</v>
      </c>
      <c r="G7">
        <v>287.75655999999998</v>
      </c>
      <c r="H7">
        <v>7</v>
      </c>
      <c r="I7">
        <v>103.10108199999999</v>
      </c>
      <c r="J7">
        <v>5</v>
      </c>
      <c r="K7">
        <v>40.753132000000001</v>
      </c>
      <c r="L7">
        <v>2</v>
      </c>
      <c r="M7">
        <v>18.138106000000001</v>
      </c>
      <c r="N7">
        <v>1</v>
      </c>
      <c r="O7">
        <v>8.5823919999999987</v>
      </c>
      <c r="P7" s="3">
        <f t="shared" ref="P7:P21" si="0">(B7*C7)+(D7*E7)+(F7*G7)+(H7*I7)+(J7*K7)+(L7*M7)+(N7*O7)</f>
        <v>2851.9363179999996</v>
      </c>
    </row>
    <row r="8" spans="1:19" x14ac:dyDescent="0.2">
      <c r="A8">
        <v>6000</v>
      </c>
      <c r="B8">
        <v>3</v>
      </c>
      <c r="C8">
        <v>911.7806599999999</v>
      </c>
      <c r="D8">
        <v>1</v>
      </c>
      <c r="E8">
        <v>682.06725999999992</v>
      </c>
      <c r="F8">
        <v>2</v>
      </c>
      <c r="G8">
        <v>287.75655999999998</v>
      </c>
      <c r="H8">
        <v>9</v>
      </c>
      <c r="I8">
        <v>103.10108199999999</v>
      </c>
      <c r="J8">
        <v>15</v>
      </c>
      <c r="K8">
        <v>40.753132000000001</v>
      </c>
      <c r="L8">
        <v>11</v>
      </c>
      <c r="M8">
        <v>18.138106000000001</v>
      </c>
      <c r="N8">
        <v>6</v>
      </c>
      <c r="O8">
        <v>8.5823919999999987</v>
      </c>
      <c r="P8" s="3">
        <f t="shared" si="0"/>
        <v>5783.1425959999997</v>
      </c>
    </row>
    <row r="9" spans="1:19" x14ac:dyDescent="0.2">
      <c r="A9">
        <v>8000</v>
      </c>
      <c r="B9">
        <v>5</v>
      </c>
      <c r="C9">
        <v>911.7806599999999</v>
      </c>
      <c r="D9">
        <v>3</v>
      </c>
      <c r="E9">
        <v>682.06725999999992</v>
      </c>
      <c r="F9">
        <v>1</v>
      </c>
      <c r="G9">
        <v>287.75655999999998</v>
      </c>
      <c r="H9">
        <v>3</v>
      </c>
      <c r="I9">
        <v>103.10108199999999</v>
      </c>
      <c r="J9">
        <v>6</v>
      </c>
      <c r="K9">
        <v>40.753132000000001</v>
      </c>
      <c r="L9">
        <v>6</v>
      </c>
      <c r="M9">
        <v>18.138106000000001</v>
      </c>
      <c r="N9">
        <v>1</v>
      </c>
      <c r="O9">
        <v>8.5823919999999987</v>
      </c>
      <c r="P9" s="3">
        <f t="shared" si="0"/>
        <v>7564.094705999999</v>
      </c>
    </row>
    <row r="10" spans="1:19" x14ac:dyDescent="0.2">
      <c r="A10">
        <v>10000</v>
      </c>
      <c r="B10">
        <v>54</v>
      </c>
      <c r="C10">
        <v>911.7806599999999</v>
      </c>
      <c r="D10">
        <v>41</v>
      </c>
      <c r="E10">
        <v>682.06725999999992</v>
      </c>
      <c r="F10">
        <v>65</v>
      </c>
      <c r="G10">
        <v>287.75655999999998</v>
      </c>
      <c r="H10">
        <v>156</v>
      </c>
      <c r="I10">
        <v>103.10108199999999</v>
      </c>
      <c r="J10">
        <v>265</v>
      </c>
      <c r="K10">
        <v>40.753132000000001</v>
      </c>
      <c r="L10">
        <v>267</v>
      </c>
      <c r="M10">
        <v>18.138106000000001</v>
      </c>
      <c r="N10">
        <v>181</v>
      </c>
      <c r="O10">
        <v>8.5823919999999987</v>
      </c>
      <c r="P10" s="3">
        <f t="shared" si="0"/>
        <v>129184.72572599998</v>
      </c>
    </row>
    <row r="11" spans="1:19" x14ac:dyDescent="0.2">
      <c r="A11">
        <v>20000</v>
      </c>
      <c r="B11">
        <v>17</v>
      </c>
      <c r="C11">
        <v>911.7806599999999</v>
      </c>
      <c r="D11">
        <v>40</v>
      </c>
      <c r="E11">
        <v>682.06725999999992</v>
      </c>
      <c r="F11">
        <v>88</v>
      </c>
      <c r="G11">
        <v>287.75655999999998</v>
      </c>
      <c r="H11">
        <v>246</v>
      </c>
      <c r="I11">
        <v>103.10108199999999</v>
      </c>
      <c r="J11">
        <v>498</v>
      </c>
      <c r="K11">
        <v>40.753132000000001</v>
      </c>
      <c r="L11">
        <v>487</v>
      </c>
      <c r="M11">
        <v>18.138106000000001</v>
      </c>
      <c r="N11">
        <v>289</v>
      </c>
      <c r="O11">
        <v>8.5823919999999987</v>
      </c>
      <c r="P11" s="3">
        <f t="shared" si="0"/>
        <v>125077.03371799998</v>
      </c>
    </row>
    <row r="12" spans="1:19" x14ac:dyDescent="0.2">
      <c r="A12">
        <v>30000</v>
      </c>
      <c r="B12">
        <v>7</v>
      </c>
      <c r="C12">
        <v>911.7806599999999</v>
      </c>
      <c r="D12">
        <v>21</v>
      </c>
      <c r="E12">
        <v>682.06725999999992</v>
      </c>
      <c r="F12">
        <v>46</v>
      </c>
      <c r="G12">
        <v>287.75655999999998</v>
      </c>
      <c r="H12">
        <v>175</v>
      </c>
      <c r="I12">
        <v>103.10108199999999</v>
      </c>
      <c r="J12">
        <v>291</v>
      </c>
      <c r="K12">
        <v>40.753132000000001</v>
      </c>
      <c r="L12">
        <v>324</v>
      </c>
      <c r="M12">
        <v>18.138106000000001</v>
      </c>
      <c r="N12">
        <v>213</v>
      </c>
      <c r="O12">
        <v>8.5823919999999987</v>
      </c>
      <c r="P12" s="3">
        <f t="shared" si="0"/>
        <v>71549.325442000001</v>
      </c>
      <c r="Q12" s="3">
        <f t="shared" ref="Q12:Q19" si="1">Q13+P12</f>
        <v>246649.35983799997</v>
      </c>
      <c r="R12">
        <v>3474000</v>
      </c>
      <c r="S12" s="21">
        <f t="shared" ref="S12:S20" si="2">(Q12/R12)*100</f>
        <v>7.0998664317213578</v>
      </c>
    </row>
    <row r="13" spans="1:19" x14ac:dyDescent="0.2">
      <c r="A13">
        <v>40000</v>
      </c>
      <c r="B13">
        <v>1</v>
      </c>
      <c r="C13">
        <v>911.7806599999999</v>
      </c>
      <c r="D13">
        <v>20</v>
      </c>
      <c r="E13">
        <v>682.06725999999992</v>
      </c>
      <c r="F13">
        <v>36</v>
      </c>
      <c r="G13">
        <v>287.75655999999998</v>
      </c>
      <c r="H13">
        <v>95</v>
      </c>
      <c r="I13">
        <v>103.10108199999999</v>
      </c>
      <c r="J13">
        <v>162</v>
      </c>
      <c r="K13">
        <v>40.753132000000001</v>
      </c>
      <c r="L13">
        <v>224</v>
      </c>
      <c r="M13">
        <v>18.138106000000001</v>
      </c>
      <c r="N13">
        <v>152</v>
      </c>
      <c r="O13">
        <v>8.5823919999999987</v>
      </c>
      <c r="P13" s="3">
        <f t="shared" si="0"/>
        <v>46676.431522000006</v>
      </c>
      <c r="Q13" s="3">
        <f t="shared" si="1"/>
        <v>175100.03439599997</v>
      </c>
      <c r="R13">
        <v>3474000</v>
      </c>
      <c r="S13" s="21">
        <f t="shared" si="2"/>
        <v>5.0403003568221063</v>
      </c>
    </row>
    <row r="14" spans="1:19" x14ac:dyDescent="0.2">
      <c r="A14">
        <v>50000</v>
      </c>
      <c r="B14">
        <v>4</v>
      </c>
      <c r="C14">
        <v>911.7806599999999</v>
      </c>
      <c r="D14">
        <v>10</v>
      </c>
      <c r="E14">
        <v>682.06725999999992</v>
      </c>
      <c r="F14">
        <v>16</v>
      </c>
      <c r="G14">
        <v>287.75655999999998</v>
      </c>
      <c r="H14">
        <v>78</v>
      </c>
      <c r="I14">
        <v>103.10108199999999</v>
      </c>
      <c r="J14">
        <v>137</v>
      </c>
      <c r="K14">
        <v>40.753132000000001</v>
      </c>
      <c r="L14">
        <v>186</v>
      </c>
      <c r="M14">
        <v>18.138106000000001</v>
      </c>
      <c r="N14">
        <v>111</v>
      </c>
      <c r="O14">
        <v>8.5823919999999987</v>
      </c>
      <c r="P14" s="3">
        <f t="shared" si="0"/>
        <v>33023.296907999997</v>
      </c>
      <c r="Q14" s="3">
        <f t="shared" si="1"/>
        <v>128423.60287399997</v>
      </c>
      <c r="R14">
        <v>3474000</v>
      </c>
      <c r="S14" s="21">
        <f t="shared" si="2"/>
        <v>3.6967070487622329</v>
      </c>
    </row>
    <row r="15" spans="1:19" x14ac:dyDescent="0.2">
      <c r="A15">
        <v>60000</v>
      </c>
      <c r="B15">
        <v>3</v>
      </c>
      <c r="C15">
        <v>911.7806599999999</v>
      </c>
      <c r="D15">
        <v>7</v>
      </c>
      <c r="E15">
        <v>682.06725999999992</v>
      </c>
      <c r="F15">
        <v>34</v>
      </c>
      <c r="G15">
        <v>287.75655999999998</v>
      </c>
      <c r="H15">
        <v>77</v>
      </c>
      <c r="I15">
        <v>103.10108199999999</v>
      </c>
      <c r="J15">
        <v>174</v>
      </c>
      <c r="K15">
        <v>40.753132000000001</v>
      </c>
      <c r="L15">
        <v>214</v>
      </c>
      <c r="M15">
        <v>18.138106000000001</v>
      </c>
      <c r="N15">
        <v>135</v>
      </c>
      <c r="O15">
        <v>8.5823919999999987</v>
      </c>
      <c r="P15" s="3">
        <f t="shared" si="0"/>
        <v>37363.541726000003</v>
      </c>
      <c r="Q15" s="3">
        <f t="shared" si="1"/>
        <v>95400.305965999985</v>
      </c>
      <c r="R15">
        <v>3474000</v>
      </c>
      <c r="S15" s="24">
        <f t="shared" si="2"/>
        <v>2.7461227969487618</v>
      </c>
    </row>
    <row r="16" spans="1:19" x14ac:dyDescent="0.2">
      <c r="A16">
        <v>80000</v>
      </c>
      <c r="B16">
        <v>0</v>
      </c>
      <c r="C16">
        <v>911.7806599999999</v>
      </c>
      <c r="D16">
        <v>1</v>
      </c>
      <c r="E16">
        <v>682.06725999999992</v>
      </c>
      <c r="F16">
        <v>17</v>
      </c>
      <c r="G16">
        <v>287.75655999999998</v>
      </c>
      <c r="H16">
        <v>47</v>
      </c>
      <c r="I16">
        <v>103.10108199999999</v>
      </c>
      <c r="J16">
        <v>108</v>
      </c>
      <c r="K16">
        <v>40.753132000000001</v>
      </c>
      <c r="L16">
        <v>111</v>
      </c>
      <c r="M16">
        <v>18.138106000000001</v>
      </c>
      <c r="N16">
        <v>79</v>
      </c>
      <c r="O16">
        <v>8.5823919999999987</v>
      </c>
      <c r="P16" s="3">
        <f t="shared" si="0"/>
        <v>17512.356623999996</v>
      </c>
      <c r="Q16" s="3">
        <f t="shared" si="1"/>
        <v>58036.76423999999</v>
      </c>
      <c r="R16">
        <v>3474000</v>
      </c>
      <c r="S16" s="24">
        <f t="shared" si="2"/>
        <v>1.6706034611398961</v>
      </c>
    </row>
    <row r="17" spans="1:19" x14ac:dyDescent="0.2">
      <c r="A17">
        <v>100000</v>
      </c>
      <c r="B17">
        <v>1</v>
      </c>
      <c r="C17">
        <v>911.7806599999999</v>
      </c>
      <c r="D17">
        <v>3</v>
      </c>
      <c r="E17">
        <v>682.06725999999992</v>
      </c>
      <c r="F17">
        <v>13</v>
      </c>
      <c r="G17">
        <v>287.75655999999998</v>
      </c>
      <c r="H17">
        <v>30</v>
      </c>
      <c r="I17">
        <v>103.10108199999999</v>
      </c>
      <c r="J17">
        <v>66</v>
      </c>
      <c r="K17">
        <v>40.753132000000001</v>
      </c>
      <c r="L17">
        <v>81</v>
      </c>
      <c r="M17">
        <v>18.138106000000001</v>
      </c>
      <c r="N17">
        <v>62</v>
      </c>
      <c r="O17">
        <v>8.5823919999999987</v>
      </c>
      <c r="P17" s="3">
        <f t="shared" si="0"/>
        <v>14482.851782</v>
      </c>
      <c r="Q17" s="3">
        <f t="shared" si="1"/>
        <v>40524.407615999997</v>
      </c>
      <c r="R17">
        <v>3474000</v>
      </c>
      <c r="S17" s="24">
        <f t="shared" si="2"/>
        <v>1.1665056884283245</v>
      </c>
    </row>
    <row r="18" spans="1:19" x14ac:dyDescent="0.2">
      <c r="A18">
        <v>120000</v>
      </c>
      <c r="B18">
        <v>0</v>
      </c>
      <c r="C18">
        <v>911.7806599999999</v>
      </c>
      <c r="D18">
        <v>1</v>
      </c>
      <c r="E18">
        <v>682.06725999999992</v>
      </c>
      <c r="F18">
        <v>3</v>
      </c>
      <c r="G18">
        <v>287.75655999999998</v>
      </c>
      <c r="H18">
        <v>19</v>
      </c>
      <c r="I18">
        <v>103.10108199999999</v>
      </c>
      <c r="J18">
        <v>43</v>
      </c>
      <c r="K18">
        <v>40.753132000000001</v>
      </c>
      <c r="L18">
        <v>50</v>
      </c>
      <c r="M18">
        <v>18.138106000000001</v>
      </c>
      <c r="N18">
        <v>20</v>
      </c>
      <c r="O18">
        <v>8.5823919999999987</v>
      </c>
      <c r="P18" s="3">
        <f t="shared" si="0"/>
        <v>6335.1953139999996</v>
      </c>
      <c r="Q18" s="3">
        <f t="shared" si="1"/>
        <v>26041.555833999999</v>
      </c>
      <c r="R18">
        <v>3474000</v>
      </c>
      <c r="S18" s="24">
        <f t="shared" si="2"/>
        <v>0.749613006160046</v>
      </c>
    </row>
    <row r="19" spans="1:19" x14ac:dyDescent="0.2">
      <c r="A19">
        <v>140000</v>
      </c>
      <c r="B19">
        <v>1</v>
      </c>
      <c r="C19">
        <v>911.7806599999999</v>
      </c>
      <c r="D19">
        <v>2</v>
      </c>
      <c r="E19">
        <v>682.06725999999992</v>
      </c>
      <c r="F19">
        <v>7</v>
      </c>
      <c r="G19">
        <v>287.75655999999998</v>
      </c>
      <c r="H19">
        <v>29</v>
      </c>
      <c r="I19">
        <v>103.10108199999999</v>
      </c>
      <c r="J19">
        <v>65</v>
      </c>
      <c r="K19">
        <v>40.753132000000001</v>
      </c>
      <c r="L19">
        <v>89</v>
      </c>
      <c r="M19">
        <v>18.138106000000001</v>
      </c>
      <c r="N19">
        <v>47</v>
      </c>
      <c r="O19">
        <v>8.5823919999999987</v>
      </c>
      <c r="P19" s="3">
        <f t="shared" si="0"/>
        <v>11946.759915999999</v>
      </c>
      <c r="Q19" s="3">
        <f t="shared" si="1"/>
        <v>19706.360519999998</v>
      </c>
      <c r="R19">
        <v>3474000</v>
      </c>
      <c r="S19" s="24">
        <f t="shared" si="2"/>
        <v>0.56725274956822103</v>
      </c>
    </row>
    <row r="20" spans="1:19" x14ac:dyDescent="0.2">
      <c r="A20" t="s">
        <v>10</v>
      </c>
      <c r="B20">
        <v>0</v>
      </c>
      <c r="C20">
        <v>911.7806599999999</v>
      </c>
      <c r="D20">
        <v>1</v>
      </c>
      <c r="E20">
        <v>682.06725999999992</v>
      </c>
      <c r="F20">
        <v>5</v>
      </c>
      <c r="G20">
        <v>287.75655999999998</v>
      </c>
      <c r="H20">
        <v>24</v>
      </c>
      <c r="I20">
        <v>103.10108199999999</v>
      </c>
      <c r="J20">
        <v>38</v>
      </c>
      <c r="K20">
        <v>40.753132000000001</v>
      </c>
      <c r="L20">
        <v>64</v>
      </c>
      <c r="M20">
        <v>18.138106000000001</v>
      </c>
      <c r="N20">
        <v>53</v>
      </c>
      <c r="O20">
        <v>8.5823919999999987</v>
      </c>
      <c r="P20" s="3">
        <f t="shared" si="0"/>
        <v>7759.6006039999984</v>
      </c>
      <c r="Q20" s="3">
        <f>P20</f>
        <v>7759.6006039999984</v>
      </c>
      <c r="R20">
        <v>3474000</v>
      </c>
      <c r="S20" s="24">
        <f t="shared" si="2"/>
        <v>0.22336213598157739</v>
      </c>
    </row>
    <row r="21" spans="1:19" x14ac:dyDescent="0.2">
      <c r="A21" t="s">
        <v>3</v>
      </c>
      <c r="B21">
        <f t="shared" ref="B21:N21" si="3">SUM(B6:B20)</f>
        <v>97</v>
      </c>
      <c r="C21">
        <v>911.7806599999999</v>
      </c>
      <c r="D21">
        <f t="shared" si="3"/>
        <v>152</v>
      </c>
      <c r="E21">
        <v>682.06725999999992</v>
      </c>
      <c r="F21">
        <f t="shared" si="3"/>
        <v>335</v>
      </c>
      <c r="G21">
        <v>287.75655999999998</v>
      </c>
      <c r="H21">
        <f t="shared" si="3"/>
        <v>995</v>
      </c>
      <c r="I21">
        <v>103.10108199999999</v>
      </c>
      <c r="J21">
        <f t="shared" si="3"/>
        <v>1873</v>
      </c>
      <c r="K21">
        <v>40.753132000000001</v>
      </c>
      <c r="L21">
        <f t="shared" si="3"/>
        <v>2118</v>
      </c>
      <c r="M21">
        <v>18.138106000000001</v>
      </c>
      <c r="N21">
        <f t="shared" si="3"/>
        <v>1350</v>
      </c>
      <c r="O21">
        <v>8.5823919999999987</v>
      </c>
      <c r="P21" s="3">
        <f t="shared" si="0"/>
        <v>517434.32567399996</v>
      </c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10</v>
      </c>
      <c r="B32" s="14">
        <v>5.0000000000000001E-4</v>
      </c>
      <c r="C32" s="4" t="s">
        <v>69</v>
      </c>
      <c r="K32" s="4">
        <v>2.6130531572038493</v>
      </c>
      <c r="L32" s="4">
        <v>19342.456083454774</v>
      </c>
      <c r="M32" s="20">
        <f t="shared" ref="M32:M37" si="4">POWER(B32,1/K32)</f>
        <v>5.4540024650667589E-2</v>
      </c>
      <c r="N32" s="8">
        <f t="shared" ref="N32:N37" si="5">L32/M32</f>
        <v>354646.99928803596</v>
      </c>
      <c r="O32" s="5">
        <f t="shared" ref="O32:O37" si="6">R12</f>
        <v>3474000</v>
      </c>
      <c r="P32" s="8">
        <f>O32*(K32/(1-K32))*POWER(L32,K32)*(-1)*POWER(N32,1-K32)</f>
        <v>997919876.90244305</v>
      </c>
      <c r="Q32" s="9">
        <f t="shared" ref="Q32:Q37" si="7">B32*O32</f>
        <v>1737</v>
      </c>
      <c r="R32" s="8">
        <f t="shared" ref="R32:R37" si="8">P32/Q32</f>
        <v>574507.701152817</v>
      </c>
      <c r="S32" s="4">
        <f t="shared" ref="S32:S37" si="9">P32*9.5147*1.23</f>
        <v>11678737150.899319</v>
      </c>
    </row>
    <row r="33" spans="1:19" x14ac:dyDescent="0.2">
      <c r="A33" t="s">
        <v>10</v>
      </c>
      <c r="B33" s="14">
        <v>1E-3</v>
      </c>
      <c r="C33" s="4" t="s">
        <v>69</v>
      </c>
      <c r="K33" s="4">
        <v>2.6130531572038493</v>
      </c>
      <c r="L33" s="4">
        <v>19342.456083454774</v>
      </c>
      <c r="M33" s="20">
        <f t="shared" si="4"/>
        <v>7.110787988448368E-2</v>
      </c>
      <c r="N33" s="8">
        <f t="shared" si="5"/>
        <v>272015.64882650168</v>
      </c>
      <c r="O33" s="5">
        <f t="shared" si="6"/>
        <v>3474000</v>
      </c>
      <c r="P33" s="8">
        <f>O33*(K33/(1-K33))*POWER(L33,K33)*(POWER(N32,1-K33)-POWER(N33,1-K33))+P32</f>
        <v>1530816972.0168154</v>
      </c>
      <c r="Q33" s="9">
        <f t="shared" si="7"/>
        <v>3474</v>
      </c>
      <c r="R33" s="8">
        <f t="shared" si="8"/>
        <v>440649.67530708562</v>
      </c>
      <c r="S33" s="4">
        <f t="shared" si="9"/>
        <v>17915275019.687523</v>
      </c>
    </row>
    <row r="34" spans="1:19" x14ac:dyDescent="0.2">
      <c r="A34" t="s">
        <v>70</v>
      </c>
      <c r="B34" s="14">
        <v>2.5000000000000001E-3</v>
      </c>
      <c r="C34">
        <f>S20/100</f>
        <v>2.2336213598157738E-3</v>
      </c>
      <c r="D34">
        <f>S19/100</f>
        <v>5.6725274956822107E-3</v>
      </c>
      <c r="E34">
        <v>200000</v>
      </c>
      <c r="F34">
        <v>140000</v>
      </c>
      <c r="G34">
        <f>D34/C34</f>
        <v>2.5396101585230513</v>
      </c>
      <c r="H34">
        <f>LN(G34)</f>
        <v>0.93201058835461059</v>
      </c>
      <c r="I34">
        <f>E34/F34</f>
        <v>1.4285714285714286</v>
      </c>
      <c r="J34">
        <f>LN(I34)</f>
        <v>0.35667494393873239</v>
      </c>
      <c r="K34" s="4">
        <f>H34/J34</f>
        <v>2.6130531572038493</v>
      </c>
      <c r="L34" s="4">
        <f>F34*POWER(D34,1/K34)</f>
        <v>19342.456083454774</v>
      </c>
      <c r="M34" s="20">
        <f t="shared" si="4"/>
        <v>0.10097340916957279</v>
      </c>
      <c r="N34" s="8">
        <f t="shared" si="5"/>
        <v>191559.89921040923</v>
      </c>
      <c r="O34" s="5">
        <f t="shared" si="6"/>
        <v>3474000</v>
      </c>
      <c r="P34" s="8">
        <f>O34*(K34/(1-K34))*POWER(L34,K34)*(POWER(N33,1-K34)-POWER(N34,1-K34))+P33</f>
        <v>2695094437.8953991</v>
      </c>
      <c r="Q34" s="9">
        <f t="shared" si="7"/>
        <v>8685</v>
      </c>
      <c r="R34" s="8">
        <f t="shared" si="8"/>
        <v>310315.99745485309</v>
      </c>
      <c r="S34" s="4">
        <f t="shared" si="9"/>
        <v>31540908509.339321</v>
      </c>
    </row>
    <row r="35" spans="1:19" x14ac:dyDescent="0.2">
      <c r="A35" t="s">
        <v>70</v>
      </c>
      <c r="B35" s="14">
        <v>5.0000000000000001E-3</v>
      </c>
      <c r="C35">
        <f>S20/100</f>
        <v>2.2336213598157738E-3</v>
      </c>
      <c r="D35">
        <f>S19/100</f>
        <v>5.6725274956822107E-3</v>
      </c>
      <c r="E35">
        <v>200000</v>
      </c>
      <c r="F35">
        <v>140000</v>
      </c>
      <c r="G35">
        <f>D35/C35</f>
        <v>2.5396101585230513</v>
      </c>
      <c r="H35">
        <f>LN(G35)</f>
        <v>0.93201058835461059</v>
      </c>
      <c r="I35">
        <f>E35/F35</f>
        <v>1.4285714285714286</v>
      </c>
      <c r="J35">
        <f>LN(I35)</f>
        <v>0.35667494393873239</v>
      </c>
      <c r="K35" s="4">
        <f>H35/J35</f>
        <v>2.6130531572038493</v>
      </c>
      <c r="L35" s="4">
        <f>F35*POWER(D35,1/K35)</f>
        <v>19342.456083454774</v>
      </c>
      <c r="M35" s="20">
        <f t="shared" si="4"/>
        <v>0.13164653108877758</v>
      </c>
      <c r="N35" s="8">
        <f t="shared" si="5"/>
        <v>146927.19909505956</v>
      </c>
      <c r="O35" s="5">
        <f t="shared" si="6"/>
        <v>3474000</v>
      </c>
      <c r="P35" s="8">
        <f>O35*(K35/(1-K35))*POWER(L35,K35)*(POWER(N34,1-K35)-POWER(N35,1-K35))+P34</f>
        <v>4134296151.6355686</v>
      </c>
      <c r="Q35" s="9">
        <f t="shared" si="7"/>
        <v>17370</v>
      </c>
      <c r="R35" s="8">
        <f t="shared" si="8"/>
        <v>238013.59537337758</v>
      </c>
      <c r="S35" s="4">
        <f t="shared" si="9"/>
        <v>48384002740.579338</v>
      </c>
    </row>
    <row r="36" spans="1:19" x14ac:dyDescent="0.2">
      <c r="A36" t="s">
        <v>71</v>
      </c>
      <c r="B36" s="14">
        <v>0.01</v>
      </c>
      <c r="C36">
        <f>S18/100</f>
        <v>7.4961300616004601E-3</v>
      </c>
      <c r="D36">
        <f>S17/100</f>
        <v>1.1665056884283244E-2</v>
      </c>
      <c r="E36">
        <v>120000</v>
      </c>
      <c r="F36">
        <v>100000</v>
      </c>
      <c r="G36">
        <f>D36/C36</f>
        <v>1.556143875362896</v>
      </c>
      <c r="H36">
        <f>LN(G36)</f>
        <v>0.44221088636776573</v>
      </c>
      <c r="I36">
        <f>E36/F36</f>
        <v>1.2</v>
      </c>
      <c r="J36">
        <f>LN(I36)</f>
        <v>0.18232155679395459</v>
      </c>
      <c r="K36" s="4">
        <f>H36/J36</f>
        <v>2.4254448796064061</v>
      </c>
      <c r="L36" s="4">
        <f>F36*POWER(D36,1/K36)</f>
        <v>15958.282881402843</v>
      </c>
      <c r="M36" s="20">
        <f t="shared" si="4"/>
        <v>0.14976454372848633</v>
      </c>
      <c r="N36" s="8">
        <f t="shared" si="5"/>
        <v>106555.81410733775</v>
      </c>
      <c r="O36" s="5">
        <f t="shared" si="6"/>
        <v>3474000</v>
      </c>
      <c r="P36" s="8">
        <f>O36*(K36/(1-K36))*POWER(L36,K36)*(POWER(N35,1-K36)-POWER(N36,1-K36))+P35</f>
        <v>6448555267.5280333</v>
      </c>
      <c r="Q36" s="9">
        <f t="shared" si="7"/>
        <v>34740</v>
      </c>
      <c r="R36" s="8">
        <f t="shared" si="8"/>
        <v>185623.35254830262</v>
      </c>
      <c r="S36" s="4">
        <f t="shared" si="9"/>
        <v>75467964628.857239</v>
      </c>
    </row>
    <row r="37" spans="1:19" x14ac:dyDescent="0.2">
      <c r="A37" t="s">
        <v>72</v>
      </c>
      <c r="B37" s="14">
        <v>0.02</v>
      </c>
      <c r="C37">
        <f>S16/100</f>
        <v>1.6706034611398961E-2</v>
      </c>
      <c r="D37">
        <f>S15/100</f>
        <v>2.746122796948762E-2</v>
      </c>
      <c r="E37">
        <v>80000</v>
      </c>
      <c r="F37">
        <v>60000</v>
      </c>
      <c r="G37">
        <f>D37/C37</f>
        <v>1.643790917968655</v>
      </c>
      <c r="H37">
        <f>LN(G37)</f>
        <v>0.4970051096948892</v>
      </c>
      <c r="I37">
        <f>E37/F37</f>
        <v>1.3333333333333333</v>
      </c>
      <c r="J37">
        <f>LN(I37)</f>
        <v>0.28768207245178085</v>
      </c>
      <c r="K37" s="4">
        <f>H37/J37</f>
        <v>1.7276193315042025</v>
      </c>
      <c r="L37" s="4">
        <f>F37*POWER(D37,1/K37)</f>
        <v>7489.1688303784449</v>
      </c>
      <c r="M37" s="20">
        <f t="shared" si="4"/>
        <v>0.10389224354067725</v>
      </c>
      <c r="N37" s="8">
        <f t="shared" si="5"/>
        <v>72085.928411452463</v>
      </c>
      <c r="O37" s="5">
        <f t="shared" si="6"/>
        <v>3474000</v>
      </c>
      <c r="P37" s="8">
        <f>O37*(K37/(1-K37))*POWER(L37,K37)*(POWER(N36,1-K37)-POWER(N37,1-K37))+P36</f>
        <v>9391879809.0101032</v>
      </c>
      <c r="Q37" s="9">
        <f t="shared" si="7"/>
        <v>69480</v>
      </c>
      <c r="R37" s="8">
        <f t="shared" si="8"/>
        <v>135173.86023330604</v>
      </c>
      <c r="S37" s="4">
        <f t="shared" si="9"/>
        <v>109913930147.10976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2000</v>
      </c>
      <c r="B50">
        <v>0</v>
      </c>
      <c r="C50">
        <v>2078.7157999999999</v>
      </c>
      <c r="D50">
        <v>1</v>
      </c>
      <c r="E50">
        <v>1075.3852199999999</v>
      </c>
      <c r="F50">
        <v>0</v>
      </c>
      <c r="G50">
        <v>459.26229999999998</v>
      </c>
      <c r="H50">
        <v>0</v>
      </c>
      <c r="I50">
        <v>194.06211999999999</v>
      </c>
      <c r="J50">
        <v>0</v>
      </c>
      <c r="K50">
        <v>79.966655999999986</v>
      </c>
      <c r="L50">
        <v>1</v>
      </c>
      <c r="M50">
        <v>29.173675999999997</v>
      </c>
      <c r="N50">
        <v>1</v>
      </c>
      <c r="O50">
        <v>10.322615799999999</v>
      </c>
      <c r="P50" s="3">
        <f>(B50*C50)+(D50*E50)+(F50*G50)+(H50*I50)+(J50*K50)+(L50*M50)+(N50*O50)</f>
        <v>1114.8815117999998</v>
      </c>
      <c r="Q50" s="3"/>
    </row>
    <row r="51" spans="1:19" x14ac:dyDescent="0.2">
      <c r="A51">
        <v>4000</v>
      </c>
      <c r="B51">
        <v>0</v>
      </c>
      <c r="C51">
        <v>2078.7157999999999</v>
      </c>
      <c r="D51">
        <v>2</v>
      </c>
      <c r="E51">
        <v>1075.3852199999999</v>
      </c>
      <c r="F51">
        <v>1</v>
      </c>
      <c r="G51">
        <v>459.26229999999998</v>
      </c>
      <c r="H51">
        <v>1</v>
      </c>
      <c r="I51">
        <v>194.06211999999999</v>
      </c>
      <c r="J51">
        <v>6</v>
      </c>
      <c r="K51">
        <v>79.966655999999986</v>
      </c>
      <c r="L51">
        <v>2</v>
      </c>
      <c r="M51">
        <v>29.173675999999997</v>
      </c>
      <c r="N51">
        <v>2</v>
      </c>
      <c r="O51">
        <v>10.322615799999999</v>
      </c>
      <c r="P51" s="3">
        <f t="shared" ref="P51:P65" si="10">(B51*C51)+(D51*E51)+(F51*G51)+(H51*I51)+(J51*K51)+(L51*M51)+(N51*O51)</f>
        <v>3362.8873795999993</v>
      </c>
      <c r="Q51" s="3"/>
    </row>
    <row r="52" spans="1:19" x14ac:dyDescent="0.2">
      <c r="A52">
        <v>6000</v>
      </c>
      <c r="B52">
        <v>0</v>
      </c>
      <c r="C52">
        <v>2078.7157999999999</v>
      </c>
      <c r="D52">
        <v>2</v>
      </c>
      <c r="E52">
        <v>1075.3852199999999</v>
      </c>
      <c r="F52">
        <v>0</v>
      </c>
      <c r="G52">
        <v>459.26229999999998</v>
      </c>
      <c r="H52">
        <v>4</v>
      </c>
      <c r="I52">
        <v>194.06211999999999</v>
      </c>
      <c r="J52">
        <v>3</v>
      </c>
      <c r="K52">
        <v>79.966655999999986</v>
      </c>
      <c r="L52">
        <v>5</v>
      </c>
      <c r="M52">
        <v>29.173675999999997</v>
      </c>
      <c r="N52">
        <v>11</v>
      </c>
      <c r="O52">
        <v>10.322615799999999</v>
      </c>
      <c r="P52" s="3">
        <f t="shared" si="10"/>
        <v>3426.3360417999993</v>
      </c>
      <c r="Q52" s="3"/>
    </row>
    <row r="53" spans="1:19" x14ac:dyDescent="0.2">
      <c r="A53">
        <v>8000</v>
      </c>
      <c r="B53">
        <v>0</v>
      </c>
      <c r="C53">
        <v>2078.7157999999999</v>
      </c>
      <c r="D53">
        <v>0</v>
      </c>
      <c r="E53">
        <v>1075.3852199999999</v>
      </c>
      <c r="F53">
        <v>0</v>
      </c>
      <c r="G53">
        <v>459.26229999999998</v>
      </c>
      <c r="H53">
        <v>2</v>
      </c>
      <c r="I53">
        <v>194.06211999999999</v>
      </c>
      <c r="J53">
        <v>2</v>
      </c>
      <c r="K53">
        <v>79.966655999999986</v>
      </c>
      <c r="L53">
        <v>10</v>
      </c>
      <c r="M53">
        <v>29.173675999999997</v>
      </c>
      <c r="N53">
        <v>3</v>
      </c>
      <c r="O53">
        <v>10.322615799999999</v>
      </c>
      <c r="P53" s="3">
        <f t="shared" si="10"/>
        <v>870.76215939999997</v>
      </c>
      <c r="Q53" s="3"/>
    </row>
    <row r="54" spans="1:19" x14ac:dyDescent="0.2">
      <c r="A54">
        <v>10000</v>
      </c>
      <c r="B54">
        <v>4</v>
      </c>
      <c r="C54">
        <v>2078.7157999999999</v>
      </c>
      <c r="D54">
        <v>7</v>
      </c>
      <c r="E54">
        <v>1075.3852199999999</v>
      </c>
      <c r="F54">
        <v>34</v>
      </c>
      <c r="G54">
        <v>459.26229999999998</v>
      </c>
      <c r="H54">
        <v>83</v>
      </c>
      <c r="I54">
        <v>194.06211999999999</v>
      </c>
      <c r="J54">
        <v>215</v>
      </c>
      <c r="K54">
        <v>79.966655999999986</v>
      </c>
      <c r="L54">
        <v>376</v>
      </c>
      <c r="M54">
        <v>29.173675999999997</v>
      </c>
      <c r="N54">
        <v>325</v>
      </c>
      <c r="O54">
        <v>10.322615799999999</v>
      </c>
      <c r="P54" s="3">
        <f t="shared" si="10"/>
        <v>79081.617251000003</v>
      </c>
      <c r="Q54" s="3">
        <f t="shared" ref="Q54:Q62" si="11">Q55+P54</f>
        <v>254434.72278279997</v>
      </c>
      <c r="R54">
        <v>3493900</v>
      </c>
      <c r="S54">
        <f>Q54/R54*100</f>
        <v>7.2822554389879501</v>
      </c>
    </row>
    <row r="55" spans="1:19" x14ac:dyDescent="0.2">
      <c r="A55">
        <v>20000</v>
      </c>
      <c r="B55">
        <v>3</v>
      </c>
      <c r="C55">
        <v>2078.7157999999999</v>
      </c>
      <c r="D55">
        <v>7</v>
      </c>
      <c r="E55">
        <v>1075.3852199999999</v>
      </c>
      <c r="F55">
        <v>22</v>
      </c>
      <c r="G55">
        <v>459.26229999999998</v>
      </c>
      <c r="H55">
        <v>90</v>
      </c>
      <c r="I55">
        <v>194.06211999999999</v>
      </c>
      <c r="J55">
        <v>171</v>
      </c>
      <c r="K55">
        <v>79.966655999999986</v>
      </c>
      <c r="L55">
        <v>348</v>
      </c>
      <c r="M55">
        <v>29.173675999999997</v>
      </c>
      <c r="N55">
        <v>348</v>
      </c>
      <c r="O55">
        <v>10.322615799999999</v>
      </c>
      <c r="P55" s="3">
        <f t="shared" si="10"/>
        <v>68752.213062399998</v>
      </c>
      <c r="Q55" s="3">
        <f t="shared" si="11"/>
        <v>175353.10553179999</v>
      </c>
      <c r="R55">
        <v>3493900</v>
      </c>
      <c r="S55">
        <f>Q55/R55*100</f>
        <v>5.0188358433784597</v>
      </c>
    </row>
    <row r="56" spans="1:19" x14ac:dyDescent="0.2">
      <c r="A56">
        <v>30000</v>
      </c>
      <c r="B56">
        <v>1</v>
      </c>
      <c r="C56">
        <v>2078.7157999999999</v>
      </c>
      <c r="D56">
        <v>5</v>
      </c>
      <c r="E56">
        <v>1075.3852199999999</v>
      </c>
      <c r="F56">
        <v>9</v>
      </c>
      <c r="G56">
        <v>459.26229999999998</v>
      </c>
      <c r="H56">
        <v>34</v>
      </c>
      <c r="I56">
        <v>194.06211999999999</v>
      </c>
      <c r="J56">
        <v>109</v>
      </c>
      <c r="K56">
        <v>79.966655999999986</v>
      </c>
      <c r="L56">
        <v>202</v>
      </c>
      <c r="M56">
        <v>29.173675999999997</v>
      </c>
      <c r="N56">
        <v>202</v>
      </c>
      <c r="O56">
        <v>10.322615799999999</v>
      </c>
      <c r="P56" s="3">
        <f t="shared" si="10"/>
        <v>34881.731127599989</v>
      </c>
      <c r="Q56" s="3">
        <f t="shared" si="11"/>
        <v>106600.89246939999</v>
      </c>
      <c r="R56">
        <v>3493900</v>
      </c>
      <c r="S56">
        <f>Q56/R56*100</f>
        <v>3.0510573419216347</v>
      </c>
    </row>
    <row r="57" spans="1:19" x14ac:dyDescent="0.2">
      <c r="A57">
        <v>40000</v>
      </c>
      <c r="B57">
        <v>2</v>
      </c>
      <c r="C57">
        <v>2078.7157999999999</v>
      </c>
      <c r="D57">
        <v>2</v>
      </c>
      <c r="E57">
        <v>1075.3852199999999</v>
      </c>
      <c r="F57">
        <v>8</v>
      </c>
      <c r="G57">
        <v>459.26229999999998</v>
      </c>
      <c r="H57">
        <v>19</v>
      </c>
      <c r="I57">
        <v>194.06211999999999</v>
      </c>
      <c r="J57">
        <v>55</v>
      </c>
      <c r="K57">
        <v>79.966655999999986</v>
      </c>
      <c r="L57">
        <v>110</v>
      </c>
      <c r="M57">
        <v>29.173675999999997</v>
      </c>
      <c r="N57">
        <v>105</v>
      </c>
      <c r="O57">
        <v>10.322615799999999</v>
      </c>
      <c r="P57" s="3">
        <f t="shared" si="10"/>
        <v>22360.625819000001</v>
      </c>
      <c r="Q57" s="3">
        <f t="shared" si="11"/>
        <v>71719.161341800005</v>
      </c>
      <c r="R57">
        <v>3493900</v>
      </c>
      <c r="S57">
        <f t="shared" ref="S57:S63" si="12">Q57/R57*100</f>
        <v>2.0526964521537536</v>
      </c>
    </row>
    <row r="58" spans="1:19" x14ac:dyDescent="0.2">
      <c r="A58">
        <v>50000</v>
      </c>
      <c r="B58">
        <v>0</v>
      </c>
      <c r="C58">
        <v>2078.7157999999999</v>
      </c>
      <c r="D58">
        <v>1</v>
      </c>
      <c r="E58">
        <v>1075.3852199999999</v>
      </c>
      <c r="F58">
        <v>7</v>
      </c>
      <c r="G58">
        <v>459.26229999999998</v>
      </c>
      <c r="H58">
        <v>19</v>
      </c>
      <c r="I58">
        <v>194.06211999999999</v>
      </c>
      <c r="J58">
        <v>37</v>
      </c>
      <c r="K58">
        <v>79.966655999999986</v>
      </c>
      <c r="L58">
        <v>90</v>
      </c>
      <c r="M58">
        <v>29.173675999999997</v>
      </c>
      <c r="N58">
        <v>85</v>
      </c>
      <c r="O58">
        <v>10.322615799999999</v>
      </c>
      <c r="P58" s="3">
        <f t="shared" si="10"/>
        <v>14439.221054999998</v>
      </c>
      <c r="Q58" s="3">
        <f t="shared" si="11"/>
        <v>49358.535522799997</v>
      </c>
      <c r="R58">
        <v>3493900</v>
      </c>
      <c r="S58">
        <f t="shared" si="12"/>
        <v>1.4127060168522281</v>
      </c>
    </row>
    <row r="59" spans="1:19" x14ac:dyDescent="0.2">
      <c r="A59">
        <v>60000</v>
      </c>
      <c r="B59">
        <v>0</v>
      </c>
      <c r="C59">
        <v>2078.7157999999999</v>
      </c>
      <c r="D59">
        <v>0</v>
      </c>
      <c r="E59">
        <v>1075.3852199999999</v>
      </c>
      <c r="F59">
        <v>4</v>
      </c>
      <c r="G59">
        <v>459.26229999999998</v>
      </c>
      <c r="H59">
        <v>18</v>
      </c>
      <c r="I59">
        <v>194.06211999999999</v>
      </c>
      <c r="J59">
        <v>39</v>
      </c>
      <c r="K59">
        <v>79.966655999999986</v>
      </c>
      <c r="L59">
        <v>97</v>
      </c>
      <c r="M59">
        <v>29.173675999999997</v>
      </c>
      <c r="N59">
        <v>83</v>
      </c>
      <c r="O59">
        <v>10.322615799999999</v>
      </c>
      <c r="P59" s="3">
        <f t="shared" si="10"/>
        <v>12135.4906274</v>
      </c>
      <c r="Q59" s="3">
        <f t="shared" si="11"/>
        <v>34919.314467799995</v>
      </c>
      <c r="R59">
        <v>3493900</v>
      </c>
      <c r="S59">
        <f t="shared" si="12"/>
        <v>0.99943657425226806</v>
      </c>
    </row>
    <row r="60" spans="1:19" x14ac:dyDescent="0.2">
      <c r="A60">
        <v>80000</v>
      </c>
      <c r="B60">
        <v>0</v>
      </c>
      <c r="C60">
        <v>2078.7157999999999</v>
      </c>
      <c r="D60">
        <v>0</v>
      </c>
      <c r="E60">
        <v>1075.3852199999999</v>
      </c>
      <c r="F60">
        <v>5</v>
      </c>
      <c r="G60">
        <v>459.26229999999998</v>
      </c>
      <c r="H60">
        <v>5</v>
      </c>
      <c r="I60">
        <v>194.06211999999999</v>
      </c>
      <c r="J60">
        <v>19</v>
      </c>
      <c r="K60">
        <v>79.966655999999986</v>
      </c>
      <c r="L60">
        <v>40</v>
      </c>
      <c r="M60">
        <v>29.173675999999997</v>
      </c>
      <c r="N60">
        <v>53</v>
      </c>
      <c r="O60">
        <v>10.322615799999999</v>
      </c>
      <c r="P60" s="3">
        <f t="shared" si="10"/>
        <v>6500.0342413999988</v>
      </c>
      <c r="Q60" s="3">
        <f t="shared" si="11"/>
        <v>22783.823840399997</v>
      </c>
      <c r="R60">
        <v>3493900</v>
      </c>
      <c r="S60">
        <f t="shared" si="12"/>
        <v>0.65210291766793549</v>
      </c>
    </row>
    <row r="61" spans="1:19" x14ac:dyDescent="0.2">
      <c r="A61">
        <v>100000</v>
      </c>
      <c r="B61">
        <v>0</v>
      </c>
      <c r="C61">
        <v>2078.7157999999999</v>
      </c>
      <c r="D61">
        <v>0</v>
      </c>
      <c r="E61">
        <v>1075.3852199999999</v>
      </c>
      <c r="F61">
        <v>1</v>
      </c>
      <c r="G61">
        <v>459.26229999999998</v>
      </c>
      <c r="H61">
        <v>4</v>
      </c>
      <c r="I61">
        <v>194.06211999999999</v>
      </c>
      <c r="J61">
        <v>15</v>
      </c>
      <c r="K61">
        <v>79.966655999999986</v>
      </c>
      <c r="L61">
        <v>24</v>
      </c>
      <c r="M61">
        <v>29.173675999999997</v>
      </c>
      <c r="N61">
        <v>25</v>
      </c>
      <c r="O61">
        <v>10.322615799999999</v>
      </c>
      <c r="P61" s="3">
        <f t="shared" si="10"/>
        <v>3393.2442390000001</v>
      </c>
      <c r="Q61" s="3">
        <f t="shared" si="11"/>
        <v>16283.789598999998</v>
      </c>
      <c r="R61">
        <v>3493900</v>
      </c>
      <c r="S61">
        <f t="shared" si="12"/>
        <v>0.4660634133489796</v>
      </c>
    </row>
    <row r="62" spans="1:19" x14ac:dyDescent="0.2">
      <c r="A62">
        <v>120000</v>
      </c>
      <c r="B62">
        <v>0</v>
      </c>
      <c r="C62">
        <v>2078.7157999999999</v>
      </c>
      <c r="D62">
        <v>0</v>
      </c>
      <c r="E62">
        <v>1075.3852199999999</v>
      </c>
      <c r="F62">
        <v>1</v>
      </c>
      <c r="G62">
        <v>459.26229999999998</v>
      </c>
      <c r="H62">
        <v>5</v>
      </c>
      <c r="I62">
        <v>194.06211999999999</v>
      </c>
      <c r="J62">
        <v>12</v>
      </c>
      <c r="K62">
        <v>79.966655999999986</v>
      </c>
      <c r="L62">
        <v>15</v>
      </c>
      <c r="M62">
        <v>29.173675999999997</v>
      </c>
      <c r="N62">
        <v>21</v>
      </c>
      <c r="O62">
        <v>10.322615799999999</v>
      </c>
      <c r="P62" s="3">
        <f t="shared" si="10"/>
        <v>3043.5528438000001</v>
      </c>
      <c r="Q62" s="3">
        <f t="shared" si="11"/>
        <v>12890.545359999998</v>
      </c>
      <c r="R62">
        <v>3493900</v>
      </c>
      <c r="S62">
        <f t="shared" si="12"/>
        <v>0.36894431323163224</v>
      </c>
    </row>
    <row r="63" spans="1:19" x14ac:dyDescent="0.2">
      <c r="A63">
        <v>140000</v>
      </c>
      <c r="B63">
        <v>0</v>
      </c>
      <c r="C63">
        <v>2078.7157999999999</v>
      </c>
      <c r="D63">
        <v>3</v>
      </c>
      <c r="E63">
        <v>1075.3852199999999</v>
      </c>
      <c r="F63">
        <v>0</v>
      </c>
      <c r="G63">
        <v>459.26229999999998</v>
      </c>
      <c r="H63">
        <v>4</v>
      </c>
      <c r="I63">
        <v>194.06211999999999</v>
      </c>
      <c r="J63">
        <v>8</v>
      </c>
      <c r="K63">
        <v>79.966655999999986</v>
      </c>
      <c r="L63">
        <v>25</v>
      </c>
      <c r="M63">
        <v>29.173675999999997</v>
      </c>
      <c r="N63">
        <v>32</v>
      </c>
      <c r="O63">
        <v>10.322615799999999</v>
      </c>
      <c r="P63" s="3">
        <f t="shared" si="10"/>
        <v>5701.8029935999984</v>
      </c>
      <c r="Q63" s="3">
        <f>P64+P63</f>
        <v>9846.9925161999981</v>
      </c>
      <c r="R63">
        <v>3493900</v>
      </c>
      <c r="S63">
        <f t="shared" si="12"/>
        <v>0.2818338394401671</v>
      </c>
    </row>
    <row r="64" spans="1:19" x14ac:dyDescent="0.2">
      <c r="A64" t="s">
        <v>10</v>
      </c>
      <c r="B64">
        <v>0</v>
      </c>
      <c r="C64">
        <v>2078.7157999999999</v>
      </c>
      <c r="D64">
        <v>1</v>
      </c>
      <c r="E64">
        <v>1075.3852199999999</v>
      </c>
      <c r="F64">
        <v>1</v>
      </c>
      <c r="G64">
        <v>459.26229999999998</v>
      </c>
      <c r="H64">
        <v>5</v>
      </c>
      <c r="I64">
        <v>194.06211999999999</v>
      </c>
      <c r="J64">
        <v>9</v>
      </c>
      <c r="K64">
        <v>79.966655999999986</v>
      </c>
      <c r="L64">
        <v>22</v>
      </c>
      <c r="M64">
        <v>29.173675999999997</v>
      </c>
      <c r="N64">
        <v>27</v>
      </c>
      <c r="O64">
        <v>10.322615799999999</v>
      </c>
      <c r="P64" s="3">
        <f t="shared" si="10"/>
        <v>4145.1895225999997</v>
      </c>
      <c r="Q64" s="3">
        <f>P64</f>
        <v>4145.1895225999997</v>
      </c>
      <c r="R64">
        <v>3493900</v>
      </c>
      <c r="S64">
        <f>Q64/R64*100</f>
        <v>0.11864076025644694</v>
      </c>
    </row>
    <row r="65" spans="1:19" x14ac:dyDescent="0.2">
      <c r="A65" t="s">
        <v>3</v>
      </c>
      <c r="B65">
        <v>10</v>
      </c>
      <c r="C65">
        <v>2078.7157999999999</v>
      </c>
      <c r="D65">
        <v>31</v>
      </c>
      <c r="E65">
        <v>1075.3852199999999</v>
      </c>
      <c r="F65">
        <v>93</v>
      </c>
      <c r="G65">
        <v>459.26229999999998</v>
      </c>
      <c r="H65">
        <v>293</v>
      </c>
      <c r="I65">
        <v>194.06211999999999</v>
      </c>
      <c r="J65">
        <v>700</v>
      </c>
      <c r="K65">
        <v>79.966655999999986</v>
      </c>
      <c r="L65">
        <v>1367</v>
      </c>
      <c r="M65">
        <v>29.173675999999997</v>
      </c>
      <c r="N65">
        <v>1323</v>
      </c>
      <c r="O65">
        <v>10.322615799999999</v>
      </c>
      <c r="P65" s="3">
        <f t="shared" si="10"/>
        <v>263209.58987540001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10</v>
      </c>
      <c r="B73" s="14">
        <v>5.0000000000000001E-4</v>
      </c>
      <c r="C73" s="4" t="s">
        <v>69</v>
      </c>
      <c r="D73" s="5"/>
      <c r="E73" s="5"/>
      <c r="F73" s="5"/>
      <c r="G73" s="5"/>
      <c r="H73" s="5"/>
      <c r="I73" s="5"/>
      <c r="J73" s="5"/>
      <c r="K73" s="4">
        <v>2.4257873569031214</v>
      </c>
      <c r="L73" s="4">
        <v>12442.857385908095</v>
      </c>
      <c r="M73" s="7">
        <f t="shared" ref="M73:M78" si="13">POWER(B73,1/K73)</f>
        <v>4.3570480430386388E-2</v>
      </c>
      <c r="N73" s="8">
        <f t="shared" ref="N73:N78" si="14">L73/M73</f>
        <v>285579.99046598421</v>
      </c>
      <c r="O73">
        <f t="shared" ref="O73:O78" si="15">R54</f>
        <v>3493900</v>
      </c>
      <c r="P73" s="8">
        <f>O73*(K73/(1-K73))*POWER(L73,K73)*(-1)*POWER(N73,1-K73)</f>
        <v>848801657.05138826</v>
      </c>
      <c r="Q73" s="9">
        <f t="shared" ref="Q73:Q78" si="16">B73*O73</f>
        <v>1746.95</v>
      </c>
      <c r="R73" s="4">
        <f t="shared" ref="R73:R78" si="17">P73/Q73</f>
        <v>485876.33134971705</v>
      </c>
      <c r="S73" s="3">
        <f t="shared" ref="S73:S78" si="18">9.5147*P73*1.23</f>
        <v>9933594545.4066181</v>
      </c>
    </row>
    <row r="74" spans="1:19" x14ac:dyDescent="0.2">
      <c r="A74" t="s">
        <v>10</v>
      </c>
      <c r="B74" s="14">
        <v>1E-3</v>
      </c>
      <c r="C74" s="4" t="s">
        <v>69</v>
      </c>
      <c r="D74" s="5"/>
      <c r="E74" s="5"/>
      <c r="F74" s="5"/>
      <c r="G74" s="5"/>
      <c r="H74" s="5"/>
      <c r="I74" s="5"/>
      <c r="J74" s="5"/>
      <c r="K74" s="4">
        <v>2.4257873569031214</v>
      </c>
      <c r="L74" s="4">
        <v>12442.857385908095</v>
      </c>
      <c r="M74" s="7">
        <f>POWER(B74,1/K74)</f>
        <v>5.798132524907329E-2</v>
      </c>
      <c r="N74" s="8">
        <f>L74/M74</f>
        <v>214601.12083428047</v>
      </c>
      <c r="O74">
        <f t="shared" si="15"/>
        <v>3493900</v>
      </c>
      <c r="P74" s="8">
        <f>O74*(K74/(1-K74))*POWER(L74,K74)*(POWER(N73,1-K74)-POWER(N74,1-K74))+P73</f>
        <v>1275676119.1286552</v>
      </c>
      <c r="Q74" s="9">
        <f t="shared" si="16"/>
        <v>3493.9</v>
      </c>
      <c r="R74" s="4">
        <f t="shared" si="17"/>
        <v>365115.23487468308</v>
      </c>
      <c r="S74" s="3">
        <f t="shared" si="18"/>
        <v>14929340951.928299</v>
      </c>
    </row>
    <row r="75" spans="1:19" x14ac:dyDescent="0.2">
      <c r="A75" t="s">
        <v>70</v>
      </c>
      <c r="B75" s="14">
        <v>2.5000000000000001E-3</v>
      </c>
      <c r="C75" s="5">
        <f>S64/100</f>
        <v>1.1864076025644695E-3</v>
      </c>
      <c r="D75" s="5">
        <f>S63/100</f>
        <v>2.8183383944016711E-3</v>
      </c>
      <c r="E75" s="5">
        <v>200000</v>
      </c>
      <c r="F75" s="5">
        <v>140000</v>
      </c>
      <c r="G75" s="5">
        <f>D75/C75</f>
        <v>2.3755228711529792</v>
      </c>
      <c r="H75" s="5">
        <f>LN(G75)</f>
        <v>0.86521756953070672</v>
      </c>
      <c r="I75" s="5">
        <f>E75/F75</f>
        <v>1.4285714285714286</v>
      </c>
      <c r="J75" s="5">
        <f>LN(I75)</f>
        <v>0.35667494393873239</v>
      </c>
      <c r="K75" s="4">
        <f>H75/J75</f>
        <v>2.4257873569031214</v>
      </c>
      <c r="L75" s="4">
        <f>F75*(D75^(1/K75))</f>
        <v>12442.857385908095</v>
      </c>
      <c r="M75" s="7">
        <f>POWER(B75,1/K75)</f>
        <v>8.4592887086172991E-2</v>
      </c>
      <c r="N75" s="8">
        <f>L75/M75</f>
        <v>147091.05947918314</v>
      </c>
      <c r="O75">
        <f t="shared" si="15"/>
        <v>3493900</v>
      </c>
      <c r="P75" s="8">
        <f>O75*(K75/(1-K75))*POWER(L75,K75)*(POWER(N74,1-K75)-POWER(N75,1-K75))+P74</f>
        <v>2185922319.3413138</v>
      </c>
      <c r="Q75" s="9">
        <f t="shared" si="16"/>
        <v>8734.75</v>
      </c>
      <c r="R75" s="4">
        <f t="shared" si="17"/>
        <v>250255.85384141663</v>
      </c>
      <c r="S75" s="3">
        <f t="shared" si="18"/>
        <v>25582025962.959259</v>
      </c>
    </row>
    <row r="76" spans="1:19" x14ac:dyDescent="0.2">
      <c r="A76" t="s">
        <v>74</v>
      </c>
      <c r="B76" s="14">
        <v>5.0000000000000001E-3</v>
      </c>
      <c r="C76" s="5">
        <f>S61/100</f>
        <v>4.6606341334897959E-3</v>
      </c>
      <c r="D76" s="5">
        <f>S60/100</f>
        <v>6.5210291766793545E-3</v>
      </c>
      <c r="E76" s="5">
        <v>100000</v>
      </c>
      <c r="F76" s="5">
        <v>80000</v>
      </c>
      <c r="G76" s="5">
        <f>D76/C76</f>
        <v>1.3991720847215547</v>
      </c>
      <c r="H76" s="5">
        <f>LN(G76)</f>
        <v>0.33588069363812417</v>
      </c>
      <c r="I76" s="5">
        <f>E76/F76</f>
        <v>1.25</v>
      </c>
      <c r="J76" s="5">
        <f>LN(I76)</f>
        <v>0.22314355131420976</v>
      </c>
      <c r="K76" s="4">
        <f>H76/J76</f>
        <v>1.5052224976251658</v>
      </c>
      <c r="L76" s="4">
        <f>F76*(D76^(1/K76))</f>
        <v>2825.029756845116</v>
      </c>
      <c r="M76" s="7">
        <f t="shared" si="13"/>
        <v>2.9600729613175357E-2</v>
      </c>
      <c r="N76" s="8">
        <f t="shared" si="14"/>
        <v>95437.842031693988</v>
      </c>
      <c r="O76">
        <f t="shared" si="15"/>
        <v>3493900</v>
      </c>
      <c r="P76" s="8">
        <f>O76*(K76/(1-K76))*POWER(L76,K76)*(POWER(N75,1-K76)-POWER(N76,1-K76))+P75</f>
        <v>3161073310.4241161</v>
      </c>
      <c r="Q76" s="9">
        <f t="shared" si="16"/>
        <v>17469.5</v>
      </c>
      <c r="R76" s="4">
        <f t="shared" si="17"/>
        <v>180948.12733187075</v>
      </c>
      <c r="S76" s="3">
        <f t="shared" si="18"/>
        <v>36994296998.831573</v>
      </c>
    </row>
    <row r="77" spans="1:19" x14ac:dyDescent="0.2">
      <c r="A77" t="s">
        <v>45</v>
      </c>
      <c r="B77" s="14">
        <v>0.01</v>
      </c>
      <c r="C77" s="5">
        <f>S59/100</f>
        <v>9.9943657425226803E-3</v>
      </c>
      <c r="D77" s="5">
        <f>S58/100</f>
        <v>1.4127060168522282E-2</v>
      </c>
      <c r="E77" s="5">
        <v>60000</v>
      </c>
      <c r="F77" s="5">
        <v>50000</v>
      </c>
      <c r="G77" s="5">
        <f>D77/C77</f>
        <v>1.4135024205104252</v>
      </c>
      <c r="H77" s="5">
        <f>LN(G77)</f>
        <v>0.34607061057340588</v>
      </c>
      <c r="I77" s="5">
        <f>E77/F77</f>
        <v>1.2</v>
      </c>
      <c r="J77" s="5">
        <f>LN(I77)</f>
        <v>0.18232155679395459</v>
      </c>
      <c r="K77" s="4">
        <f>H77/J77</f>
        <v>1.8981332578489747</v>
      </c>
      <c r="L77" s="4">
        <f>F77*(D77^(1/K77))</f>
        <v>5300.9718690900108</v>
      </c>
      <c r="M77" s="7">
        <f t="shared" si="13"/>
        <v>8.8375767361063381E-2</v>
      </c>
      <c r="N77" s="8">
        <f t="shared" si="14"/>
        <v>59982.187735158659</v>
      </c>
      <c r="O77">
        <f t="shared" si="15"/>
        <v>3493900</v>
      </c>
      <c r="P77" s="8">
        <f>O77*(K77/(1-K77))*POWER(L77,K77)*(POWER(N76,1-K77)-POWER(N77,1-K77))+P76</f>
        <v>4671658734.087265</v>
      </c>
      <c r="Q77" s="9">
        <f t="shared" si="16"/>
        <v>34939</v>
      </c>
      <c r="R77" s="4">
        <f t="shared" si="17"/>
        <v>133708.99951593534</v>
      </c>
      <c r="S77" s="3">
        <f t="shared" si="18"/>
        <v>54672800569.380722</v>
      </c>
    </row>
    <row r="78" spans="1:19" x14ac:dyDescent="0.2">
      <c r="A78" t="s">
        <v>65</v>
      </c>
      <c r="B78" s="14">
        <v>0.02</v>
      </c>
      <c r="C78" s="5">
        <f>S58/100</f>
        <v>1.4127060168522282E-2</v>
      </c>
      <c r="D78" s="5">
        <f>S57/100</f>
        <v>2.0526964521537537E-2</v>
      </c>
      <c r="E78" s="5">
        <v>50000</v>
      </c>
      <c r="F78" s="5">
        <v>40000</v>
      </c>
      <c r="G78" s="5">
        <f>D78/C78</f>
        <v>1.4530244988462238</v>
      </c>
      <c r="H78" s="5">
        <f>LN(G78)</f>
        <v>0.37364724531745769</v>
      </c>
      <c r="I78" s="5">
        <f>E78/F78</f>
        <v>1.25</v>
      </c>
      <c r="J78" s="5">
        <f>LN(I78)</f>
        <v>0.22314355131420976</v>
      </c>
      <c r="K78" s="4">
        <f>H78/J78</f>
        <v>1.6744702820980149</v>
      </c>
      <c r="L78" s="4">
        <f>F78*(D78^(1/K78))</f>
        <v>3928.0221084735595</v>
      </c>
      <c r="M78" s="7">
        <f t="shared" si="13"/>
        <v>9.6687130869992699E-2</v>
      </c>
      <c r="N78" s="8">
        <f t="shared" si="14"/>
        <v>40626.110973912859</v>
      </c>
      <c r="O78">
        <f t="shared" si="15"/>
        <v>3493900</v>
      </c>
      <c r="P78" s="8">
        <f>O78*(K78/(1-K78))*POWER(L78,K78)*(POWER(N77,1-K78)-POWER(N78,1-K78))+P77</f>
        <v>6300452334.3545017</v>
      </c>
      <c r="Q78" s="9">
        <f t="shared" si="16"/>
        <v>69878</v>
      </c>
      <c r="R78" s="4">
        <f t="shared" si="17"/>
        <v>90163.604200957401</v>
      </c>
      <c r="S78" s="3">
        <f t="shared" si="18"/>
        <v>73734704005.589813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19">S32+S73</f>
        <v>21612331696.305939</v>
      </c>
      <c r="C85">
        <f t="shared" ref="C85:C90" si="20">943850000000*1.23</f>
        <v>1160935500000</v>
      </c>
      <c r="F85" s="10">
        <f t="shared" ref="F85:F90" si="21">B85/C85*100</f>
        <v>1.8616307018181406</v>
      </c>
    </row>
    <row r="86" spans="1:7" ht="15" x14ac:dyDescent="0.25">
      <c r="A86" s="18">
        <v>1E-3</v>
      </c>
      <c r="B86" s="3">
        <f t="shared" si="19"/>
        <v>32844615971.615822</v>
      </c>
      <c r="C86">
        <f t="shared" si="20"/>
        <v>1160935500000</v>
      </c>
      <c r="F86" s="10">
        <f t="shared" si="21"/>
        <v>2.8291507987838962</v>
      </c>
    </row>
    <row r="87" spans="1:7" ht="15" x14ac:dyDescent="0.25">
      <c r="A87" s="18">
        <v>2.5000000000000001E-3</v>
      </c>
      <c r="B87" s="3">
        <f t="shared" si="19"/>
        <v>57122934472.298584</v>
      </c>
      <c r="C87">
        <f t="shared" si="20"/>
        <v>1160935500000</v>
      </c>
      <c r="F87" s="10">
        <f t="shared" si="21"/>
        <v>4.9204227515050221</v>
      </c>
    </row>
    <row r="88" spans="1:7" ht="15" x14ac:dyDescent="0.25">
      <c r="A88" s="18">
        <v>5.0000000000000001E-3</v>
      </c>
      <c r="B88" s="3">
        <f t="shared" si="19"/>
        <v>85378299739.410919</v>
      </c>
      <c r="C88">
        <f t="shared" si="20"/>
        <v>1160935500000</v>
      </c>
      <c r="F88" s="10">
        <f t="shared" si="21"/>
        <v>7.3542672904231905</v>
      </c>
    </row>
    <row r="89" spans="1:7" ht="15" x14ac:dyDescent="0.25">
      <c r="A89" s="19">
        <v>0.01</v>
      </c>
      <c r="B89" s="3">
        <f t="shared" si="19"/>
        <v>130140765198.23796</v>
      </c>
      <c r="C89">
        <f t="shared" si="20"/>
        <v>1160935500000</v>
      </c>
      <c r="F89" s="10">
        <f t="shared" si="21"/>
        <v>11.209991011407434</v>
      </c>
    </row>
    <row r="90" spans="1:7" ht="15" x14ac:dyDescent="0.25">
      <c r="A90" s="19">
        <v>0.02</v>
      </c>
      <c r="B90" s="3">
        <f t="shared" si="19"/>
        <v>183648634152.69958</v>
      </c>
      <c r="C90">
        <f t="shared" si="20"/>
        <v>1160935500000</v>
      </c>
      <c r="F90" s="10">
        <f t="shared" si="21"/>
        <v>15.819021311063327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opLeftCell="A28" workbookViewId="0">
      <selection activeCell="G19" sqref="G19"/>
    </sheetView>
  </sheetViews>
  <sheetFormatPr defaultRowHeight="12.75" x14ac:dyDescent="0.2"/>
  <cols>
    <col min="1" max="1" width="15.42578125" customWidth="1"/>
    <col min="2" max="3" width="15.140625" customWidth="1"/>
    <col min="4" max="4" width="13.42578125" customWidth="1"/>
    <col min="5" max="5" width="20.28515625" customWidth="1"/>
    <col min="6" max="6" width="29.7109375" customWidth="1"/>
    <col min="7" max="8" width="19.85546875" customWidth="1"/>
    <col min="16" max="16" width="13" customWidth="1"/>
    <col min="17" max="17" width="19.42578125" customWidth="1"/>
    <col min="18" max="18" width="13.28515625" customWidth="1"/>
  </cols>
  <sheetData>
    <row r="1" spans="1:9" ht="15.75" x14ac:dyDescent="0.25">
      <c r="A1" s="29" t="s">
        <v>122</v>
      </c>
    </row>
    <row r="4" spans="1:9" x14ac:dyDescent="0.2">
      <c r="A4" t="s">
        <v>0</v>
      </c>
      <c r="B4" t="s">
        <v>125</v>
      </c>
      <c r="C4" t="s">
        <v>126</v>
      </c>
      <c r="D4" t="s">
        <v>124</v>
      </c>
      <c r="E4" t="s">
        <v>128</v>
      </c>
      <c r="F4" t="s">
        <v>127</v>
      </c>
      <c r="G4" t="s">
        <v>130</v>
      </c>
      <c r="H4" t="s">
        <v>129</v>
      </c>
      <c r="I4" s="27" t="s">
        <v>118</v>
      </c>
    </row>
    <row r="5" spans="1:9" x14ac:dyDescent="0.2">
      <c r="A5" s="40" t="s">
        <v>123</v>
      </c>
      <c r="B5">
        <v>2.3199999999999998</v>
      </c>
      <c r="C5">
        <v>7124349</v>
      </c>
      <c r="D5">
        <f>B5*C5</f>
        <v>16528489.68</v>
      </c>
      <c r="F5" s="40">
        <v>-816</v>
      </c>
      <c r="G5" s="42">
        <f>F5*D5</f>
        <v>-13487247578.879999</v>
      </c>
      <c r="H5" s="42"/>
    </row>
    <row r="6" spans="1:9" x14ac:dyDescent="0.2">
      <c r="A6" s="40">
        <v>1</v>
      </c>
      <c r="B6">
        <v>12.37</v>
      </c>
      <c r="C6">
        <v>7124349</v>
      </c>
      <c r="D6">
        <f t="shared" ref="D6:D18" si="0">B6*C6</f>
        <v>88128197.129999995</v>
      </c>
      <c r="F6" s="40">
        <v>386</v>
      </c>
      <c r="G6" s="42">
        <f t="shared" ref="G6:G18" si="1">F6*D6</f>
        <v>34017484092.179996</v>
      </c>
      <c r="H6" s="42"/>
    </row>
    <row r="7" spans="1:9" x14ac:dyDescent="0.2">
      <c r="A7" s="40">
        <v>1000</v>
      </c>
      <c r="B7">
        <v>8.6300000000000008</v>
      </c>
      <c r="C7">
        <v>7124349</v>
      </c>
      <c r="D7">
        <f t="shared" si="0"/>
        <v>61483131.870000005</v>
      </c>
      <c r="F7" s="40">
        <v>1900</v>
      </c>
      <c r="G7" s="42">
        <f t="shared" si="1"/>
        <v>116817950553.00002</v>
      </c>
      <c r="H7" s="42"/>
    </row>
    <row r="8" spans="1:9" x14ac:dyDescent="0.2">
      <c r="A8" s="40">
        <v>3000</v>
      </c>
      <c r="B8">
        <v>7.83</v>
      </c>
      <c r="C8">
        <v>7124349</v>
      </c>
      <c r="D8">
        <f t="shared" si="0"/>
        <v>55783652.670000002</v>
      </c>
      <c r="F8" s="40">
        <v>3962</v>
      </c>
      <c r="G8" s="42">
        <f t="shared" si="1"/>
        <v>221014831878.54001</v>
      </c>
      <c r="H8" s="42"/>
    </row>
    <row r="9" spans="1:9" x14ac:dyDescent="0.2">
      <c r="A9" s="40">
        <v>5000</v>
      </c>
      <c r="B9">
        <v>9.39</v>
      </c>
      <c r="C9">
        <v>7124349</v>
      </c>
      <c r="D9">
        <f t="shared" si="0"/>
        <v>66897637.110000007</v>
      </c>
      <c r="F9" s="40">
        <v>5990</v>
      </c>
      <c r="G9" s="42">
        <f t="shared" si="1"/>
        <v>400716846288.90002</v>
      </c>
      <c r="H9" s="42"/>
    </row>
    <row r="10" spans="1:9" x14ac:dyDescent="0.2">
      <c r="A10" s="40">
        <v>7000</v>
      </c>
      <c r="B10">
        <v>10.7</v>
      </c>
      <c r="C10">
        <v>7124349</v>
      </c>
      <c r="D10">
        <f t="shared" si="0"/>
        <v>76230534.299999997</v>
      </c>
      <c r="F10" s="40">
        <v>8004</v>
      </c>
      <c r="G10" s="42">
        <f t="shared" si="1"/>
        <v>610149196537.19995</v>
      </c>
      <c r="H10" s="42"/>
    </row>
    <row r="11" spans="1:9" x14ac:dyDescent="0.2">
      <c r="A11" s="40">
        <v>9000</v>
      </c>
      <c r="B11">
        <v>10.55</v>
      </c>
      <c r="C11">
        <v>7124349</v>
      </c>
      <c r="D11">
        <f t="shared" si="0"/>
        <v>75161881.950000003</v>
      </c>
      <c r="F11" s="40">
        <v>9939</v>
      </c>
      <c r="G11" s="42">
        <f t="shared" si="1"/>
        <v>747033944701.05005</v>
      </c>
      <c r="H11" s="42"/>
    </row>
    <row r="12" spans="1:9" x14ac:dyDescent="0.2">
      <c r="A12" s="40">
        <v>11000</v>
      </c>
      <c r="B12">
        <v>8.34</v>
      </c>
      <c r="C12">
        <v>7124349</v>
      </c>
      <c r="D12">
        <f t="shared" si="0"/>
        <v>59417070.659999996</v>
      </c>
      <c r="E12">
        <f t="shared" ref="E12:E17" si="2">B12+E13</f>
        <v>37.83</v>
      </c>
      <c r="F12" s="40">
        <v>11984</v>
      </c>
      <c r="G12" s="42">
        <f t="shared" si="1"/>
        <v>712054174789.43994</v>
      </c>
      <c r="H12" s="42"/>
    </row>
    <row r="13" spans="1:9" x14ac:dyDescent="0.2">
      <c r="A13" s="40">
        <v>13000</v>
      </c>
      <c r="B13">
        <v>5.98</v>
      </c>
      <c r="C13">
        <v>7124349</v>
      </c>
      <c r="D13">
        <f t="shared" si="0"/>
        <v>42603607.020000003</v>
      </c>
      <c r="E13">
        <f t="shared" si="2"/>
        <v>29.49</v>
      </c>
      <c r="F13" s="40">
        <v>13939</v>
      </c>
      <c r="G13" s="42">
        <f t="shared" si="1"/>
        <v>593851678251.78003</v>
      </c>
      <c r="H13" s="42"/>
    </row>
    <row r="14" spans="1:9" x14ac:dyDescent="0.2">
      <c r="A14" s="40">
        <v>15000</v>
      </c>
      <c r="B14">
        <v>6.2</v>
      </c>
      <c r="C14">
        <v>7124349</v>
      </c>
      <c r="D14">
        <f t="shared" si="0"/>
        <v>44170963.800000004</v>
      </c>
      <c r="E14" s="32">
        <f t="shared" si="2"/>
        <v>23.509999999999998</v>
      </c>
      <c r="F14" s="40">
        <v>16433</v>
      </c>
      <c r="G14" s="42">
        <f t="shared" si="1"/>
        <v>725861448125.40002</v>
      </c>
      <c r="H14" s="42">
        <f>G14+H15</f>
        <v>4860124806243.3906</v>
      </c>
      <c r="I14" s="32">
        <f>H14/G19*100</f>
        <v>58.680904135743539</v>
      </c>
    </row>
    <row r="15" spans="1:9" x14ac:dyDescent="0.2">
      <c r="A15" s="40">
        <v>18000</v>
      </c>
      <c r="B15">
        <v>4.32</v>
      </c>
      <c r="C15">
        <v>7124349</v>
      </c>
      <c r="D15">
        <f t="shared" si="0"/>
        <v>30777187.680000003</v>
      </c>
      <c r="E15" s="32">
        <f t="shared" si="2"/>
        <v>17.309999999999999</v>
      </c>
      <c r="F15" s="40">
        <v>19422</v>
      </c>
      <c r="G15" s="42">
        <f t="shared" si="1"/>
        <v>597754539120.96008</v>
      </c>
      <c r="H15" s="42">
        <f>G15+H16</f>
        <v>4134263358117.9902</v>
      </c>
      <c r="I15" s="32">
        <f>H15/G19*100</f>
        <v>49.916889269590015</v>
      </c>
    </row>
    <row r="16" spans="1:9" x14ac:dyDescent="0.2">
      <c r="A16" s="40">
        <v>21000</v>
      </c>
      <c r="B16">
        <v>4.6100000000000003</v>
      </c>
      <c r="C16">
        <v>7124349</v>
      </c>
      <c r="D16">
        <f t="shared" si="0"/>
        <v>32843248.890000001</v>
      </c>
      <c r="E16" s="32">
        <f t="shared" si="2"/>
        <v>12.989999999999998</v>
      </c>
      <c r="F16" s="40">
        <v>23166</v>
      </c>
      <c r="G16" s="42">
        <f t="shared" si="1"/>
        <v>760846703785.73999</v>
      </c>
      <c r="H16" s="42">
        <f>G16+H17</f>
        <v>3536508818997.0303</v>
      </c>
      <c r="I16" s="32">
        <f>H16/G19*100</f>
        <v>42.699630823510105</v>
      </c>
    </row>
    <row r="17" spans="1:19" x14ac:dyDescent="0.2">
      <c r="A17" s="40">
        <v>26000</v>
      </c>
      <c r="B17">
        <v>2.79</v>
      </c>
      <c r="C17">
        <v>7124349</v>
      </c>
      <c r="D17">
        <f t="shared" si="0"/>
        <v>19876933.710000001</v>
      </c>
      <c r="E17" s="32">
        <f t="shared" si="2"/>
        <v>8.379999999999999</v>
      </c>
      <c r="F17" s="40">
        <v>28195</v>
      </c>
      <c r="G17" s="42">
        <f t="shared" si="1"/>
        <v>560430145953.45007</v>
      </c>
      <c r="H17" s="42">
        <f>G17+H18</f>
        <v>2775662115211.29</v>
      </c>
      <c r="I17" s="32">
        <f>H17/G19*100</f>
        <v>33.513205728110691</v>
      </c>
    </row>
    <row r="18" spans="1:19" x14ac:dyDescent="0.2">
      <c r="A18" s="40">
        <v>31000</v>
      </c>
      <c r="B18">
        <v>5.59</v>
      </c>
      <c r="C18">
        <v>7124349</v>
      </c>
      <c r="D18">
        <f t="shared" si="0"/>
        <v>39825110.909999996</v>
      </c>
      <c r="E18" s="32">
        <f>B18</f>
        <v>5.59</v>
      </c>
      <c r="F18" s="40">
        <v>55624</v>
      </c>
      <c r="G18" s="42">
        <f t="shared" si="1"/>
        <v>2215231969257.8398</v>
      </c>
      <c r="H18" s="42">
        <f>G18</f>
        <v>2215231969257.8398</v>
      </c>
      <c r="I18" s="32">
        <f>H18/G19*100</f>
        <v>26.746600140692728</v>
      </c>
    </row>
    <row r="19" spans="1:19" x14ac:dyDescent="0.2">
      <c r="G19" s="42">
        <f>SUM(G5:G18)</f>
        <v>8282293665756.6006</v>
      </c>
      <c r="H19" s="42"/>
    </row>
    <row r="23" spans="1:19" ht="15" x14ac:dyDescent="0.25">
      <c r="A23" s="2" t="s">
        <v>24</v>
      </c>
      <c r="B23" s="2"/>
    </row>
    <row r="24" spans="1:19" x14ac:dyDescent="0.2">
      <c r="G24" t="s">
        <v>25</v>
      </c>
    </row>
    <row r="26" spans="1:19" ht="15" x14ac:dyDescent="0.25">
      <c r="A26" t="s">
        <v>26</v>
      </c>
      <c r="B26" s="2" t="s">
        <v>27</v>
      </c>
      <c r="C26" t="s">
        <v>28</v>
      </c>
      <c r="D26" t="s">
        <v>29</v>
      </c>
      <c r="E26" t="s">
        <v>30</v>
      </c>
      <c r="F26" t="s">
        <v>31</v>
      </c>
      <c r="G26" t="s">
        <v>32</v>
      </c>
      <c r="H26" t="s">
        <v>33</v>
      </c>
      <c r="I26" t="s">
        <v>34</v>
      </c>
      <c r="J26" t="s">
        <v>35</v>
      </c>
      <c r="K26" s="2" t="s">
        <v>36</v>
      </c>
      <c r="L26" s="2" t="s">
        <v>37</v>
      </c>
      <c r="M26" s="5" t="s">
        <v>38</v>
      </c>
      <c r="N26" s="2" t="s">
        <v>39</v>
      </c>
      <c r="O26" s="5" t="s">
        <v>40</v>
      </c>
      <c r="P26" s="2" t="s">
        <v>41</v>
      </c>
      <c r="Q26" s="5" t="s">
        <v>42</v>
      </c>
      <c r="R26" s="2" t="s">
        <v>43</v>
      </c>
      <c r="S26" s="36" t="s">
        <v>116</v>
      </c>
    </row>
    <row r="27" spans="1:19" x14ac:dyDescent="0.2">
      <c r="A27" t="s">
        <v>131</v>
      </c>
      <c r="B27">
        <v>0.05</v>
      </c>
    </row>
    <row r="28" spans="1:19" x14ac:dyDescent="0.2">
      <c r="A28" t="s">
        <v>132</v>
      </c>
      <c r="B28">
        <v>0.1</v>
      </c>
      <c r="C28">
        <f>E17/100</f>
        <v>8.3799999999999986E-2</v>
      </c>
      <c r="D28">
        <f>E16/100</f>
        <v>0.12989999999999999</v>
      </c>
      <c r="E28">
        <v>26000</v>
      </c>
      <c r="F28">
        <v>21000</v>
      </c>
      <c r="G28">
        <f>D28/C28</f>
        <v>1.5501193317422435</v>
      </c>
      <c r="H28">
        <f>LN(G28)</f>
        <v>0.43833191618851652</v>
      </c>
      <c r="I28">
        <f>E28/F28</f>
        <v>1.2380952380952381</v>
      </c>
      <c r="J28">
        <f>LN(I28)</f>
        <v>0.21357410029805909</v>
      </c>
      <c r="K28">
        <f>H28/J28</f>
        <v>2.0523645684415412</v>
      </c>
      <c r="L28">
        <f>F28*(D28^(1/K28))</f>
        <v>7768.4017012186805</v>
      </c>
      <c r="M28">
        <f>POWER(B28,1/K28)</f>
        <v>0.32565453561722119</v>
      </c>
      <c r="N28">
        <f>L28/M28</f>
        <v>23854.732090542006</v>
      </c>
      <c r="O28">
        <f>C17</f>
        <v>7124349</v>
      </c>
      <c r="P28">
        <f>O28*(K28/(1-K28))*POWER(L28,K28)*(-1)*POWER(N28,1-K28)</f>
        <v>33144236588.658596</v>
      </c>
      <c r="Q28">
        <f>B28*O28</f>
        <v>712434.9</v>
      </c>
      <c r="R28">
        <f>P28/Q28</f>
        <v>46522.477476410262</v>
      </c>
      <c r="S28" s="41">
        <f>P28/G19*100</f>
        <v>0.40018185693770392</v>
      </c>
    </row>
    <row r="32" spans="1:19" ht="15.75" x14ac:dyDescent="0.25">
      <c r="A32" s="29" t="s">
        <v>133</v>
      </c>
    </row>
    <row r="33" spans="1:2" x14ac:dyDescent="0.2">
      <c r="A33" s="19">
        <v>0.01</v>
      </c>
      <c r="B33">
        <v>9.26</v>
      </c>
    </row>
    <row r="34" spans="1:2" x14ac:dyDescent="0.2">
      <c r="A34" s="19">
        <v>0.05</v>
      </c>
      <c r="B34">
        <v>24.57</v>
      </c>
    </row>
    <row r="35" spans="1:2" x14ac:dyDescent="0.2">
      <c r="A35" s="19">
        <v>0.1</v>
      </c>
      <c r="B35">
        <v>36.450000000000003</v>
      </c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C62" zoomScale="90" zoomScaleNormal="90" workbookViewId="0">
      <selection activeCell="P73" sqref="P73"/>
    </sheetView>
  </sheetViews>
  <sheetFormatPr defaultRowHeight="12.75" x14ac:dyDescent="0.2"/>
  <cols>
    <col min="1" max="1" width="14.42578125" customWidth="1"/>
    <col min="2" max="2" width="16.28515625" customWidth="1"/>
    <col min="3" max="3" width="13.140625" customWidth="1"/>
    <col min="5" max="5" width="13.5703125" customWidth="1"/>
    <col min="7" max="7" width="14.7109375" customWidth="1"/>
    <col min="9" max="9" width="15.28515625" customWidth="1"/>
    <col min="11" max="11" width="13.85546875" customWidth="1"/>
    <col min="13" max="13" width="13.5703125" customWidth="1"/>
    <col min="14" max="14" width="14.28515625" customWidth="1"/>
    <col min="15" max="16" width="13" customWidth="1"/>
    <col min="18" max="18" width="13.85546875" customWidth="1"/>
    <col min="19" max="19" width="12.28515625" bestFit="1" customWidth="1"/>
    <col min="257" max="257" width="14.42578125" customWidth="1"/>
    <col min="258" max="258" width="16.28515625" customWidth="1"/>
    <col min="259" max="259" width="13.140625" customWidth="1"/>
    <col min="261" max="261" width="13.5703125" customWidth="1"/>
    <col min="263" max="263" width="14.7109375" customWidth="1"/>
    <col min="265" max="265" width="15.28515625" customWidth="1"/>
    <col min="267" max="267" width="13.85546875" customWidth="1"/>
    <col min="269" max="269" width="13.5703125" customWidth="1"/>
    <col min="270" max="270" width="14.28515625" customWidth="1"/>
    <col min="271" max="272" width="13" customWidth="1"/>
    <col min="274" max="274" width="13.85546875" customWidth="1"/>
    <col min="275" max="275" width="12" bestFit="1" customWidth="1"/>
    <col min="513" max="513" width="14.42578125" customWidth="1"/>
    <col min="514" max="514" width="16.28515625" customWidth="1"/>
    <col min="515" max="515" width="13.140625" customWidth="1"/>
    <col min="517" max="517" width="13.5703125" customWidth="1"/>
    <col min="519" max="519" width="14.7109375" customWidth="1"/>
    <col min="521" max="521" width="15.28515625" customWidth="1"/>
    <col min="523" max="523" width="13.85546875" customWidth="1"/>
    <col min="525" max="525" width="13.5703125" customWidth="1"/>
    <col min="526" max="526" width="14.28515625" customWidth="1"/>
    <col min="527" max="528" width="13" customWidth="1"/>
    <col min="530" max="530" width="13.85546875" customWidth="1"/>
    <col min="531" max="531" width="12" bestFit="1" customWidth="1"/>
    <col min="769" max="769" width="14.42578125" customWidth="1"/>
    <col min="770" max="770" width="16.28515625" customWidth="1"/>
    <col min="771" max="771" width="13.140625" customWidth="1"/>
    <col min="773" max="773" width="13.5703125" customWidth="1"/>
    <col min="775" max="775" width="14.7109375" customWidth="1"/>
    <col min="777" max="777" width="15.28515625" customWidth="1"/>
    <col min="779" max="779" width="13.85546875" customWidth="1"/>
    <col min="781" max="781" width="13.5703125" customWidth="1"/>
    <col min="782" max="782" width="14.28515625" customWidth="1"/>
    <col min="783" max="784" width="13" customWidth="1"/>
    <col min="786" max="786" width="13.85546875" customWidth="1"/>
    <col min="787" max="787" width="12" bestFit="1" customWidth="1"/>
    <col min="1025" max="1025" width="14.42578125" customWidth="1"/>
    <col min="1026" max="1026" width="16.28515625" customWidth="1"/>
    <col min="1027" max="1027" width="13.140625" customWidth="1"/>
    <col min="1029" max="1029" width="13.5703125" customWidth="1"/>
    <col min="1031" max="1031" width="14.7109375" customWidth="1"/>
    <col min="1033" max="1033" width="15.28515625" customWidth="1"/>
    <col min="1035" max="1035" width="13.85546875" customWidth="1"/>
    <col min="1037" max="1037" width="13.5703125" customWidth="1"/>
    <col min="1038" max="1038" width="14.28515625" customWidth="1"/>
    <col min="1039" max="1040" width="13" customWidth="1"/>
    <col min="1042" max="1042" width="13.85546875" customWidth="1"/>
    <col min="1043" max="1043" width="12" bestFit="1" customWidth="1"/>
    <col min="1281" max="1281" width="14.42578125" customWidth="1"/>
    <col min="1282" max="1282" width="16.28515625" customWidth="1"/>
    <col min="1283" max="1283" width="13.140625" customWidth="1"/>
    <col min="1285" max="1285" width="13.5703125" customWidth="1"/>
    <col min="1287" max="1287" width="14.7109375" customWidth="1"/>
    <col min="1289" max="1289" width="15.28515625" customWidth="1"/>
    <col min="1291" max="1291" width="13.85546875" customWidth="1"/>
    <col min="1293" max="1293" width="13.5703125" customWidth="1"/>
    <col min="1294" max="1294" width="14.28515625" customWidth="1"/>
    <col min="1295" max="1296" width="13" customWidth="1"/>
    <col min="1298" max="1298" width="13.85546875" customWidth="1"/>
    <col min="1299" max="1299" width="12" bestFit="1" customWidth="1"/>
    <col min="1537" max="1537" width="14.42578125" customWidth="1"/>
    <col min="1538" max="1538" width="16.28515625" customWidth="1"/>
    <col min="1539" max="1539" width="13.140625" customWidth="1"/>
    <col min="1541" max="1541" width="13.5703125" customWidth="1"/>
    <col min="1543" max="1543" width="14.7109375" customWidth="1"/>
    <col min="1545" max="1545" width="15.28515625" customWidth="1"/>
    <col min="1547" max="1547" width="13.85546875" customWidth="1"/>
    <col min="1549" max="1549" width="13.5703125" customWidth="1"/>
    <col min="1550" max="1550" width="14.28515625" customWidth="1"/>
    <col min="1551" max="1552" width="13" customWidth="1"/>
    <col min="1554" max="1554" width="13.85546875" customWidth="1"/>
    <col min="1555" max="1555" width="12" bestFit="1" customWidth="1"/>
    <col min="1793" max="1793" width="14.42578125" customWidth="1"/>
    <col min="1794" max="1794" width="16.28515625" customWidth="1"/>
    <col min="1795" max="1795" width="13.140625" customWidth="1"/>
    <col min="1797" max="1797" width="13.5703125" customWidth="1"/>
    <col min="1799" max="1799" width="14.7109375" customWidth="1"/>
    <col min="1801" max="1801" width="15.28515625" customWidth="1"/>
    <col min="1803" max="1803" width="13.85546875" customWidth="1"/>
    <col min="1805" max="1805" width="13.5703125" customWidth="1"/>
    <col min="1806" max="1806" width="14.28515625" customWidth="1"/>
    <col min="1807" max="1808" width="13" customWidth="1"/>
    <col min="1810" max="1810" width="13.85546875" customWidth="1"/>
    <col min="1811" max="1811" width="12" bestFit="1" customWidth="1"/>
    <col min="2049" max="2049" width="14.42578125" customWidth="1"/>
    <col min="2050" max="2050" width="16.28515625" customWidth="1"/>
    <col min="2051" max="2051" width="13.140625" customWidth="1"/>
    <col min="2053" max="2053" width="13.5703125" customWidth="1"/>
    <col min="2055" max="2055" width="14.7109375" customWidth="1"/>
    <col min="2057" max="2057" width="15.28515625" customWidth="1"/>
    <col min="2059" max="2059" width="13.85546875" customWidth="1"/>
    <col min="2061" max="2061" width="13.5703125" customWidth="1"/>
    <col min="2062" max="2062" width="14.28515625" customWidth="1"/>
    <col min="2063" max="2064" width="13" customWidth="1"/>
    <col min="2066" max="2066" width="13.85546875" customWidth="1"/>
    <col min="2067" max="2067" width="12" bestFit="1" customWidth="1"/>
    <col min="2305" max="2305" width="14.42578125" customWidth="1"/>
    <col min="2306" max="2306" width="16.28515625" customWidth="1"/>
    <col min="2307" max="2307" width="13.140625" customWidth="1"/>
    <col min="2309" max="2309" width="13.5703125" customWidth="1"/>
    <col min="2311" max="2311" width="14.7109375" customWidth="1"/>
    <col min="2313" max="2313" width="15.28515625" customWidth="1"/>
    <col min="2315" max="2315" width="13.85546875" customWidth="1"/>
    <col min="2317" max="2317" width="13.5703125" customWidth="1"/>
    <col min="2318" max="2318" width="14.28515625" customWidth="1"/>
    <col min="2319" max="2320" width="13" customWidth="1"/>
    <col min="2322" max="2322" width="13.85546875" customWidth="1"/>
    <col min="2323" max="2323" width="12" bestFit="1" customWidth="1"/>
    <col min="2561" max="2561" width="14.42578125" customWidth="1"/>
    <col min="2562" max="2562" width="16.28515625" customWidth="1"/>
    <col min="2563" max="2563" width="13.140625" customWidth="1"/>
    <col min="2565" max="2565" width="13.5703125" customWidth="1"/>
    <col min="2567" max="2567" width="14.7109375" customWidth="1"/>
    <col min="2569" max="2569" width="15.28515625" customWidth="1"/>
    <col min="2571" max="2571" width="13.85546875" customWidth="1"/>
    <col min="2573" max="2573" width="13.5703125" customWidth="1"/>
    <col min="2574" max="2574" width="14.28515625" customWidth="1"/>
    <col min="2575" max="2576" width="13" customWidth="1"/>
    <col min="2578" max="2578" width="13.85546875" customWidth="1"/>
    <col min="2579" max="2579" width="12" bestFit="1" customWidth="1"/>
    <col min="2817" max="2817" width="14.42578125" customWidth="1"/>
    <col min="2818" max="2818" width="16.28515625" customWidth="1"/>
    <col min="2819" max="2819" width="13.140625" customWidth="1"/>
    <col min="2821" max="2821" width="13.5703125" customWidth="1"/>
    <col min="2823" max="2823" width="14.7109375" customWidth="1"/>
    <col min="2825" max="2825" width="15.28515625" customWidth="1"/>
    <col min="2827" max="2827" width="13.85546875" customWidth="1"/>
    <col min="2829" max="2829" width="13.5703125" customWidth="1"/>
    <col min="2830" max="2830" width="14.28515625" customWidth="1"/>
    <col min="2831" max="2832" width="13" customWidth="1"/>
    <col min="2834" max="2834" width="13.85546875" customWidth="1"/>
    <col min="2835" max="2835" width="12" bestFit="1" customWidth="1"/>
    <col min="3073" max="3073" width="14.42578125" customWidth="1"/>
    <col min="3074" max="3074" width="16.28515625" customWidth="1"/>
    <col min="3075" max="3075" width="13.140625" customWidth="1"/>
    <col min="3077" max="3077" width="13.5703125" customWidth="1"/>
    <col min="3079" max="3079" width="14.7109375" customWidth="1"/>
    <col min="3081" max="3081" width="15.28515625" customWidth="1"/>
    <col min="3083" max="3083" width="13.85546875" customWidth="1"/>
    <col min="3085" max="3085" width="13.5703125" customWidth="1"/>
    <col min="3086" max="3086" width="14.28515625" customWidth="1"/>
    <col min="3087" max="3088" width="13" customWidth="1"/>
    <col min="3090" max="3090" width="13.85546875" customWidth="1"/>
    <col min="3091" max="3091" width="12" bestFit="1" customWidth="1"/>
    <col min="3329" max="3329" width="14.42578125" customWidth="1"/>
    <col min="3330" max="3330" width="16.28515625" customWidth="1"/>
    <col min="3331" max="3331" width="13.140625" customWidth="1"/>
    <col min="3333" max="3333" width="13.5703125" customWidth="1"/>
    <col min="3335" max="3335" width="14.7109375" customWidth="1"/>
    <col min="3337" max="3337" width="15.28515625" customWidth="1"/>
    <col min="3339" max="3339" width="13.85546875" customWidth="1"/>
    <col min="3341" max="3341" width="13.5703125" customWidth="1"/>
    <col min="3342" max="3342" width="14.28515625" customWidth="1"/>
    <col min="3343" max="3344" width="13" customWidth="1"/>
    <col min="3346" max="3346" width="13.85546875" customWidth="1"/>
    <col min="3347" max="3347" width="12" bestFit="1" customWidth="1"/>
    <col min="3585" max="3585" width="14.42578125" customWidth="1"/>
    <col min="3586" max="3586" width="16.28515625" customWidth="1"/>
    <col min="3587" max="3587" width="13.140625" customWidth="1"/>
    <col min="3589" max="3589" width="13.5703125" customWidth="1"/>
    <col min="3591" max="3591" width="14.7109375" customWidth="1"/>
    <col min="3593" max="3593" width="15.28515625" customWidth="1"/>
    <col min="3595" max="3595" width="13.85546875" customWidth="1"/>
    <col min="3597" max="3597" width="13.5703125" customWidth="1"/>
    <col min="3598" max="3598" width="14.28515625" customWidth="1"/>
    <col min="3599" max="3600" width="13" customWidth="1"/>
    <col min="3602" max="3602" width="13.85546875" customWidth="1"/>
    <col min="3603" max="3603" width="12" bestFit="1" customWidth="1"/>
    <col min="3841" max="3841" width="14.42578125" customWidth="1"/>
    <col min="3842" max="3842" width="16.28515625" customWidth="1"/>
    <col min="3843" max="3843" width="13.140625" customWidth="1"/>
    <col min="3845" max="3845" width="13.5703125" customWidth="1"/>
    <col min="3847" max="3847" width="14.7109375" customWidth="1"/>
    <col min="3849" max="3849" width="15.28515625" customWidth="1"/>
    <col min="3851" max="3851" width="13.85546875" customWidth="1"/>
    <col min="3853" max="3853" width="13.5703125" customWidth="1"/>
    <col min="3854" max="3854" width="14.28515625" customWidth="1"/>
    <col min="3855" max="3856" width="13" customWidth="1"/>
    <col min="3858" max="3858" width="13.85546875" customWidth="1"/>
    <col min="3859" max="3859" width="12" bestFit="1" customWidth="1"/>
    <col min="4097" max="4097" width="14.42578125" customWidth="1"/>
    <col min="4098" max="4098" width="16.28515625" customWidth="1"/>
    <col min="4099" max="4099" width="13.140625" customWidth="1"/>
    <col min="4101" max="4101" width="13.5703125" customWidth="1"/>
    <col min="4103" max="4103" width="14.7109375" customWidth="1"/>
    <col min="4105" max="4105" width="15.28515625" customWidth="1"/>
    <col min="4107" max="4107" width="13.85546875" customWidth="1"/>
    <col min="4109" max="4109" width="13.5703125" customWidth="1"/>
    <col min="4110" max="4110" width="14.28515625" customWidth="1"/>
    <col min="4111" max="4112" width="13" customWidth="1"/>
    <col min="4114" max="4114" width="13.85546875" customWidth="1"/>
    <col min="4115" max="4115" width="12" bestFit="1" customWidth="1"/>
    <col min="4353" max="4353" width="14.42578125" customWidth="1"/>
    <col min="4354" max="4354" width="16.28515625" customWidth="1"/>
    <col min="4355" max="4355" width="13.140625" customWidth="1"/>
    <col min="4357" max="4357" width="13.5703125" customWidth="1"/>
    <col min="4359" max="4359" width="14.7109375" customWidth="1"/>
    <col min="4361" max="4361" width="15.28515625" customWidth="1"/>
    <col min="4363" max="4363" width="13.85546875" customWidth="1"/>
    <col min="4365" max="4365" width="13.5703125" customWidth="1"/>
    <col min="4366" max="4366" width="14.28515625" customWidth="1"/>
    <col min="4367" max="4368" width="13" customWidth="1"/>
    <col min="4370" max="4370" width="13.85546875" customWidth="1"/>
    <col min="4371" max="4371" width="12" bestFit="1" customWidth="1"/>
    <col min="4609" max="4609" width="14.42578125" customWidth="1"/>
    <col min="4610" max="4610" width="16.28515625" customWidth="1"/>
    <col min="4611" max="4611" width="13.140625" customWidth="1"/>
    <col min="4613" max="4613" width="13.5703125" customWidth="1"/>
    <col min="4615" max="4615" width="14.7109375" customWidth="1"/>
    <col min="4617" max="4617" width="15.28515625" customWidth="1"/>
    <col min="4619" max="4619" width="13.85546875" customWidth="1"/>
    <col min="4621" max="4621" width="13.5703125" customWidth="1"/>
    <col min="4622" max="4622" width="14.28515625" customWidth="1"/>
    <col min="4623" max="4624" width="13" customWidth="1"/>
    <col min="4626" max="4626" width="13.85546875" customWidth="1"/>
    <col min="4627" max="4627" width="12" bestFit="1" customWidth="1"/>
    <col min="4865" max="4865" width="14.42578125" customWidth="1"/>
    <col min="4866" max="4866" width="16.28515625" customWidth="1"/>
    <col min="4867" max="4867" width="13.140625" customWidth="1"/>
    <col min="4869" max="4869" width="13.5703125" customWidth="1"/>
    <col min="4871" max="4871" width="14.7109375" customWidth="1"/>
    <col min="4873" max="4873" width="15.28515625" customWidth="1"/>
    <col min="4875" max="4875" width="13.85546875" customWidth="1"/>
    <col min="4877" max="4877" width="13.5703125" customWidth="1"/>
    <col min="4878" max="4878" width="14.28515625" customWidth="1"/>
    <col min="4879" max="4880" width="13" customWidth="1"/>
    <col min="4882" max="4882" width="13.85546875" customWidth="1"/>
    <col min="4883" max="4883" width="12" bestFit="1" customWidth="1"/>
    <col min="5121" max="5121" width="14.42578125" customWidth="1"/>
    <col min="5122" max="5122" width="16.28515625" customWidth="1"/>
    <col min="5123" max="5123" width="13.140625" customWidth="1"/>
    <col min="5125" max="5125" width="13.5703125" customWidth="1"/>
    <col min="5127" max="5127" width="14.7109375" customWidth="1"/>
    <col min="5129" max="5129" width="15.28515625" customWidth="1"/>
    <col min="5131" max="5131" width="13.85546875" customWidth="1"/>
    <col min="5133" max="5133" width="13.5703125" customWidth="1"/>
    <col min="5134" max="5134" width="14.28515625" customWidth="1"/>
    <col min="5135" max="5136" width="13" customWidth="1"/>
    <col min="5138" max="5138" width="13.85546875" customWidth="1"/>
    <col min="5139" max="5139" width="12" bestFit="1" customWidth="1"/>
    <col min="5377" max="5377" width="14.42578125" customWidth="1"/>
    <col min="5378" max="5378" width="16.28515625" customWidth="1"/>
    <col min="5379" max="5379" width="13.140625" customWidth="1"/>
    <col min="5381" max="5381" width="13.5703125" customWidth="1"/>
    <col min="5383" max="5383" width="14.7109375" customWidth="1"/>
    <col min="5385" max="5385" width="15.28515625" customWidth="1"/>
    <col min="5387" max="5387" width="13.85546875" customWidth="1"/>
    <col min="5389" max="5389" width="13.5703125" customWidth="1"/>
    <col min="5390" max="5390" width="14.28515625" customWidth="1"/>
    <col min="5391" max="5392" width="13" customWidth="1"/>
    <col min="5394" max="5394" width="13.85546875" customWidth="1"/>
    <col min="5395" max="5395" width="12" bestFit="1" customWidth="1"/>
    <col min="5633" max="5633" width="14.42578125" customWidth="1"/>
    <col min="5634" max="5634" width="16.28515625" customWidth="1"/>
    <col min="5635" max="5635" width="13.140625" customWidth="1"/>
    <col min="5637" max="5637" width="13.5703125" customWidth="1"/>
    <col min="5639" max="5639" width="14.7109375" customWidth="1"/>
    <col min="5641" max="5641" width="15.28515625" customWidth="1"/>
    <col min="5643" max="5643" width="13.85546875" customWidth="1"/>
    <col min="5645" max="5645" width="13.5703125" customWidth="1"/>
    <col min="5646" max="5646" width="14.28515625" customWidth="1"/>
    <col min="5647" max="5648" width="13" customWidth="1"/>
    <col min="5650" max="5650" width="13.85546875" customWidth="1"/>
    <col min="5651" max="5651" width="12" bestFit="1" customWidth="1"/>
    <col min="5889" max="5889" width="14.42578125" customWidth="1"/>
    <col min="5890" max="5890" width="16.28515625" customWidth="1"/>
    <col min="5891" max="5891" width="13.140625" customWidth="1"/>
    <col min="5893" max="5893" width="13.5703125" customWidth="1"/>
    <col min="5895" max="5895" width="14.7109375" customWidth="1"/>
    <col min="5897" max="5897" width="15.28515625" customWidth="1"/>
    <col min="5899" max="5899" width="13.85546875" customWidth="1"/>
    <col min="5901" max="5901" width="13.5703125" customWidth="1"/>
    <col min="5902" max="5902" width="14.28515625" customWidth="1"/>
    <col min="5903" max="5904" width="13" customWidth="1"/>
    <col min="5906" max="5906" width="13.85546875" customWidth="1"/>
    <col min="5907" max="5907" width="12" bestFit="1" customWidth="1"/>
    <col min="6145" max="6145" width="14.42578125" customWidth="1"/>
    <col min="6146" max="6146" width="16.28515625" customWidth="1"/>
    <col min="6147" max="6147" width="13.140625" customWidth="1"/>
    <col min="6149" max="6149" width="13.5703125" customWidth="1"/>
    <col min="6151" max="6151" width="14.7109375" customWidth="1"/>
    <col min="6153" max="6153" width="15.28515625" customWidth="1"/>
    <col min="6155" max="6155" width="13.85546875" customWidth="1"/>
    <col min="6157" max="6157" width="13.5703125" customWidth="1"/>
    <col min="6158" max="6158" width="14.28515625" customWidth="1"/>
    <col min="6159" max="6160" width="13" customWidth="1"/>
    <col min="6162" max="6162" width="13.85546875" customWidth="1"/>
    <col min="6163" max="6163" width="12" bestFit="1" customWidth="1"/>
    <col min="6401" max="6401" width="14.42578125" customWidth="1"/>
    <col min="6402" max="6402" width="16.28515625" customWidth="1"/>
    <col min="6403" max="6403" width="13.140625" customWidth="1"/>
    <col min="6405" max="6405" width="13.5703125" customWidth="1"/>
    <col min="6407" max="6407" width="14.7109375" customWidth="1"/>
    <col min="6409" max="6409" width="15.28515625" customWidth="1"/>
    <col min="6411" max="6411" width="13.85546875" customWidth="1"/>
    <col min="6413" max="6413" width="13.5703125" customWidth="1"/>
    <col min="6414" max="6414" width="14.28515625" customWidth="1"/>
    <col min="6415" max="6416" width="13" customWidth="1"/>
    <col min="6418" max="6418" width="13.85546875" customWidth="1"/>
    <col min="6419" max="6419" width="12" bestFit="1" customWidth="1"/>
    <col min="6657" max="6657" width="14.42578125" customWidth="1"/>
    <col min="6658" max="6658" width="16.28515625" customWidth="1"/>
    <col min="6659" max="6659" width="13.140625" customWidth="1"/>
    <col min="6661" max="6661" width="13.5703125" customWidth="1"/>
    <col min="6663" max="6663" width="14.7109375" customWidth="1"/>
    <col min="6665" max="6665" width="15.28515625" customWidth="1"/>
    <col min="6667" max="6667" width="13.85546875" customWidth="1"/>
    <col min="6669" max="6669" width="13.5703125" customWidth="1"/>
    <col min="6670" max="6670" width="14.28515625" customWidth="1"/>
    <col min="6671" max="6672" width="13" customWidth="1"/>
    <col min="6674" max="6674" width="13.85546875" customWidth="1"/>
    <col min="6675" max="6675" width="12" bestFit="1" customWidth="1"/>
    <col min="6913" max="6913" width="14.42578125" customWidth="1"/>
    <col min="6914" max="6914" width="16.28515625" customWidth="1"/>
    <col min="6915" max="6915" width="13.140625" customWidth="1"/>
    <col min="6917" max="6917" width="13.5703125" customWidth="1"/>
    <col min="6919" max="6919" width="14.7109375" customWidth="1"/>
    <col min="6921" max="6921" width="15.28515625" customWidth="1"/>
    <col min="6923" max="6923" width="13.85546875" customWidth="1"/>
    <col min="6925" max="6925" width="13.5703125" customWidth="1"/>
    <col min="6926" max="6926" width="14.28515625" customWidth="1"/>
    <col min="6927" max="6928" width="13" customWidth="1"/>
    <col min="6930" max="6930" width="13.85546875" customWidth="1"/>
    <col min="6931" max="6931" width="12" bestFit="1" customWidth="1"/>
    <col min="7169" max="7169" width="14.42578125" customWidth="1"/>
    <col min="7170" max="7170" width="16.28515625" customWidth="1"/>
    <col min="7171" max="7171" width="13.140625" customWidth="1"/>
    <col min="7173" max="7173" width="13.5703125" customWidth="1"/>
    <col min="7175" max="7175" width="14.7109375" customWidth="1"/>
    <col min="7177" max="7177" width="15.28515625" customWidth="1"/>
    <col min="7179" max="7179" width="13.85546875" customWidth="1"/>
    <col min="7181" max="7181" width="13.5703125" customWidth="1"/>
    <col min="7182" max="7182" width="14.28515625" customWidth="1"/>
    <col min="7183" max="7184" width="13" customWidth="1"/>
    <col min="7186" max="7186" width="13.85546875" customWidth="1"/>
    <col min="7187" max="7187" width="12" bestFit="1" customWidth="1"/>
    <col min="7425" max="7425" width="14.42578125" customWidth="1"/>
    <col min="7426" max="7426" width="16.28515625" customWidth="1"/>
    <col min="7427" max="7427" width="13.140625" customWidth="1"/>
    <col min="7429" max="7429" width="13.5703125" customWidth="1"/>
    <col min="7431" max="7431" width="14.7109375" customWidth="1"/>
    <col min="7433" max="7433" width="15.28515625" customWidth="1"/>
    <col min="7435" max="7435" width="13.85546875" customWidth="1"/>
    <col min="7437" max="7437" width="13.5703125" customWidth="1"/>
    <col min="7438" max="7438" width="14.28515625" customWidth="1"/>
    <col min="7439" max="7440" width="13" customWidth="1"/>
    <col min="7442" max="7442" width="13.85546875" customWidth="1"/>
    <col min="7443" max="7443" width="12" bestFit="1" customWidth="1"/>
    <col min="7681" max="7681" width="14.42578125" customWidth="1"/>
    <col min="7682" max="7682" width="16.28515625" customWidth="1"/>
    <col min="7683" max="7683" width="13.140625" customWidth="1"/>
    <col min="7685" max="7685" width="13.5703125" customWidth="1"/>
    <col min="7687" max="7687" width="14.7109375" customWidth="1"/>
    <col min="7689" max="7689" width="15.28515625" customWidth="1"/>
    <col min="7691" max="7691" width="13.85546875" customWidth="1"/>
    <col min="7693" max="7693" width="13.5703125" customWidth="1"/>
    <col min="7694" max="7694" width="14.28515625" customWidth="1"/>
    <col min="7695" max="7696" width="13" customWidth="1"/>
    <col min="7698" max="7698" width="13.85546875" customWidth="1"/>
    <col min="7699" max="7699" width="12" bestFit="1" customWidth="1"/>
    <col min="7937" max="7937" width="14.42578125" customWidth="1"/>
    <col min="7938" max="7938" width="16.28515625" customWidth="1"/>
    <col min="7939" max="7939" width="13.140625" customWidth="1"/>
    <col min="7941" max="7941" width="13.5703125" customWidth="1"/>
    <col min="7943" max="7943" width="14.7109375" customWidth="1"/>
    <col min="7945" max="7945" width="15.28515625" customWidth="1"/>
    <col min="7947" max="7947" width="13.85546875" customWidth="1"/>
    <col min="7949" max="7949" width="13.5703125" customWidth="1"/>
    <col min="7950" max="7950" width="14.28515625" customWidth="1"/>
    <col min="7951" max="7952" width="13" customWidth="1"/>
    <col min="7954" max="7954" width="13.85546875" customWidth="1"/>
    <col min="7955" max="7955" width="12" bestFit="1" customWidth="1"/>
    <col min="8193" max="8193" width="14.42578125" customWidth="1"/>
    <col min="8194" max="8194" width="16.28515625" customWidth="1"/>
    <col min="8195" max="8195" width="13.140625" customWidth="1"/>
    <col min="8197" max="8197" width="13.5703125" customWidth="1"/>
    <col min="8199" max="8199" width="14.7109375" customWidth="1"/>
    <col min="8201" max="8201" width="15.28515625" customWidth="1"/>
    <col min="8203" max="8203" width="13.85546875" customWidth="1"/>
    <col min="8205" max="8205" width="13.5703125" customWidth="1"/>
    <col min="8206" max="8206" width="14.28515625" customWidth="1"/>
    <col min="8207" max="8208" width="13" customWidth="1"/>
    <col min="8210" max="8210" width="13.85546875" customWidth="1"/>
    <col min="8211" max="8211" width="12" bestFit="1" customWidth="1"/>
    <col min="8449" max="8449" width="14.42578125" customWidth="1"/>
    <col min="8450" max="8450" width="16.28515625" customWidth="1"/>
    <col min="8451" max="8451" width="13.140625" customWidth="1"/>
    <col min="8453" max="8453" width="13.5703125" customWidth="1"/>
    <col min="8455" max="8455" width="14.7109375" customWidth="1"/>
    <col min="8457" max="8457" width="15.28515625" customWidth="1"/>
    <col min="8459" max="8459" width="13.85546875" customWidth="1"/>
    <col min="8461" max="8461" width="13.5703125" customWidth="1"/>
    <col min="8462" max="8462" width="14.28515625" customWidth="1"/>
    <col min="8463" max="8464" width="13" customWidth="1"/>
    <col min="8466" max="8466" width="13.85546875" customWidth="1"/>
    <col min="8467" max="8467" width="12" bestFit="1" customWidth="1"/>
    <col min="8705" max="8705" width="14.42578125" customWidth="1"/>
    <col min="8706" max="8706" width="16.28515625" customWidth="1"/>
    <col min="8707" max="8707" width="13.140625" customWidth="1"/>
    <col min="8709" max="8709" width="13.5703125" customWidth="1"/>
    <col min="8711" max="8711" width="14.7109375" customWidth="1"/>
    <col min="8713" max="8713" width="15.28515625" customWidth="1"/>
    <col min="8715" max="8715" width="13.85546875" customWidth="1"/>
    <col min="8717" max="8717" width="13.5703125" customWidth="1"/>
    <col min="8718" max="8718" width="14.28515625" customWidth="1"/>
    <col min="8719" max="8720" width="13" customWidth="1"/>
    <col min="8722" max="8722" width="13.85546875" customWidth="1"/>
    <col min="8723" max="8723" width="12" bestFit="1" customWidth="1"/>
    <col min="8961" max="8961" width="14.42578125" customWidth="1"/>
    <col min="8962" max="8962" width="16.28515625" customWidth="1"/>
    <col min="8963" max="8963" width="13.140625" customWidth="1"/>
    <col min="8965" max="8965" width="13.5703125" customWidth="1"/>
    <col min="8967" max="8967" width="14.7109375" customWidth="1"/>
    <col min="8969" max="8969" width="15.28515625" customWidth="1"/>
    <col min="8971" max="8971" width="13.85546875" customWidth="1"/>
    <col min="8973" max="8973" width="13.5703125" customWidth="1"/>
    <col min="8974" max="8974" width="14.28515625" customWidth="1"/>
    <col min="8975" max="8976" width="13" customWidth="1"/>
    <col min="8978" max="8978" width="13.85546875" customWidth="1"/>
    <col min="8979" max="8979" width="12" bestFit="1" customWidth="1"/>
    <col min="9217" max="9217" width="14.42578125" customWidth="1"/>
    <col min="9218" max="9218" width="16.28515625" customWidth="1"/>
    <col min="9219" max="9219" width="13.140625" customWidth="1"/>
    <col min="9221" max="9221" width="13.5703125" customWidth="1"/>
    <col min="9223" max="9223" width="14.7109375" customWidth="1"/>
    <col min="9225" max="9225" width="15.28515625" customWidth="1"/>
    <col min="9227" max="9227" width="13.85546875" customWidth="1"/>
    <col min="9229" max="9229" width="13.5703125" customWidth="1"/>
    <col min="9230" max="9230" width="14.28515625" customWidth="1"/>
    <col min="9231" max="9232" width="13" customWidth="1"/>
    <col min="9234" max="9234" width="13.85546875" customWidth="1"/>
    <col min="9235" max="9235" width="12" bestFit="1" customWidth="1"/>
    <col min="9473" max="9473" width="14.42578125" customWidth="1"/>
    <col min="9474" max="9474" width="16.28515625" customWidth="1"/>
    <col min="9475" max="9475" width="13.140625" customWidth="1"/>
    <col min="9477" max="9477" width="13.5703125" customWidth="1"/>
    <col min="9479" max="9479" width="14.7109375" customWidth="1"/>
    <col min="9481" max="9481" width="15.28515625" customWidth="1"/>
    <col min="9483" max="9483" width="13.85546875" customWidth="1"/>
    <col min="9485" max="9485" width="13.5703125" customWidth="1"/>
    <col min="9486" max="9486" width="14.28515625" customWidth="1"/>
    <col min="9487" max="9488" width="13" customWidth="1"/>
    <col min="9490" max="9490" width="13.85546875" customWidth="1"/>
    <col min="9491" max="9491" width="12" bestFit="1" customWidth="1"/>
    <col min="9729" max="9729" width="14.42578125" customWidth="1"/>
    <col min="9730" max="9730" width="16.28515625" customWidth="1"/>
    <col min="9731" max="9731" width="13.140625" customWidth="1"/>
    <col min="9733" max="9733" width="13.5703125" customWidth="1"/>
    <col min="9735" max="9735" width="14.7109375" customWidth="1"/>
    <col min="9737" max="9737" width="15.28515625" customWidth="1"/>
    <col min="9739" max="9739" width="13.85546875" customWidth="1"/>
    <col min="9741" max="9741" width="13.5703125" customWidth="1"/>
    <col min="9742" max="9742" width="14.28515625" customWidth="1"/>
    <col min="9743" max="9744" width="13" customWidth="1"/>
    <col min="9746" max="9746" width="13.85546875" customWidth="1"/>
    <col min="9747" max="9747" width="12" bestFit="1" customWidth="1"/>
    <col min="9985" max="9985" width="14.42578125" customWidth="1"/>
    <col min="9986" max="9986" width="16.28515625" customWidth="1"/>
    <col min="9987" max="9987" width="13.140625" customWidth="1"/>
    <col min="9989" max="9989" width="13.5703125" customWidth="1"/>
    <col min="9991" max="9991" width="14.7109375" customWidth="1"/>
    <col min="9993" max="9993" width="15.28515625" customWidth="1"/>
    <col min="9995" max="9995" width="13.85546875" customWidth="1"/>
    <col min="9997" max="9997" width="13.5703125" customWidth="1"/>
    <col min="9998" max="9998" width="14.28515625" customWidth="1"/>
    <col min="9999" max="10000" width="13" customWidth="1"/>
    <col min="10002" max="10002" width="13.85546875" customWidth="1"/>
    <col min="10003" max="10003" width="12" bestFit="1" customWidth="1"/>
    <col min="10241" max="10241" width="14.42578125" customWidth="1"/>
    <col min="10242" max="10242" width="16.28515625" customWidth="1"/>
    <col min="10243" max="10243" width="13.140625" customWidth="1"/>
    <col min="10245" max="10245" width="13.5703125" customWidth="1"/>
    <col min="10247" max="10247" width="14.7109375" customWidth="1"/>
    <col min="10249" max="10249" width="15.28515625" customWidth="1"/>
    <col min="10251" max="10251" width="13.85546875" customWidth="1"/>
    <col min="10253" max="10253" width="13.5703125" customWidth="1"/>
    <col min="10254" max="10254" width="14.28515625" customWidth="1"/>
    <col min="10255" max="10256" width="13" customWidth="1"/>
    <col min="10258" max="10258" width="13.85546875" customWidth="1"/>
    <col min="10259" max="10259" width="12" bestFit="1" customWidth="1"/>
    <col min="10497" max="10497" width="14.42578125" customWidth="1"/>
    <col min="10498" max="10498" width="16.28515625" customWidth="1"/>
    <col min="10499" max="10499" width="13.140625" customWidth="1"/>
    <col min="10501" max="10501" width="13.5703125" customWidth="1"/>
    <col min="10503" max="10503" width="14.7109375" customWidth="1"/>
    <col min="10505" max="10505" width="15.28515625" customWidth="1"/>
    <col min="10507" max="10507" width="13.85546875" customWidth="1"/>
    <col min="10509" max="10509" width="13.5703125" customWidth="1"/>
    <col min="10510" max="10510" width="14.28515625" customWidth="1"/>
    <col min="10511" max="10512" width="13" customWidth="1"/>
    <col min="10514" max="10514" width="13.85546875" customWidth="1"/>
    <col min="10515" max="10515" width="12" bestFit="1" customWidth="1"/>
    <col min="10753" max="10753" width="14.42578125" customWidth="1"/>
    <col min="10754" max="10754" width="16.28515625" customWidth="1"/>
    <col min="10755" max="10755" width="13.140625" customWidth="1"/>
    <col min="10757" max="10757" width="13.5703125" customWidth="1"/>
    <col min="10759" max="10759" width="14.7109375" customWidth="1"/>
    <col min="10761" max="10761" width="15.28515625" customWidth="1"/>
    <col min="10763" max="10763" width="13.85546875" customWidth="1"/>
    <col min="10765" max="10765" width="13.5703125" customWidth="1"/>
    <col min="10766" max="10766" width="14.28515625" customWidth="1"/>
    <col min="10767" max="10768" width="13" customWidth="1"/>
    <col min="10770" max="10770" width="13.85546875" customWidth="1"/>
    <col min="10771" max="10771" width="12" bestFit="1" customWidth="1"/>
    <col min="11009" max="11009" width="14.42578125" customWidth="1"/>
    <col min="11010" max="11010" width="16.28515625" customWidth="1"/>
    <col min="11011" max="11011" width="13.140625" customWidth="1"/>
    <col min="11013" max="11013" width="13.5703125" customWidth="1"/>
    <col min="11015" max="11015" width="14.7109375" customWidth="1"/>
    <col min="11017" max="11017" width="15.28515625" customWidth="1"/>
    <col min="11019" max="11019" width="13.85546875" customWidth="1"/>
    <col min="11021" max="11021" width="13.5703125" customWidth="1"/>
    <col min="11022" max="11022" width="14.28515625" customWidth="1"/>
    <col min="11023" max="11024" width="13" customWidth="1"/>
    <col min="11026" max="11026" width="13.85546875" customWidth="1"/>
    <col min="11027" max="11027" width="12" bestFit="1" customWidth="1"/>
    <col min="11265" max="11265" width="14.42578125" customWidth="1"/>
    <col min="11266" max="11266" width="16.28515625" customWidth="1"/>
    <col min="11267" max="11267" width="13.140625" customWidth="1"/>
    <col min="11269" max="11269" width="13.5703125" customWidth="1"/>
    <col min="11271" max="11271" width="14.7109375" customWidth="1"/>
    <col min="11273" max="11273" width="15.28515625" customWidth="1"/>
    <col min="11275" max="11275" width="13.85546875" customWidth="1"/>
    <col min="11277" max="11277" width="13.5703125" customWidth="1"/>
    <col min="11278" max="11278" width="14.28515625" customWidth="1"/>
    <col min="11279" max="11280" width="13" customWidth="1"/>
    <col min="11282" max="11282" width="13.85546875" customWidth="1"/>
    <col min="11283" max="11283" width="12" bestFit="1" customWidth="1"/>
    <col min="11521" max="11521" width="14.42578125" customWidth="1"/>
    <col min="11522" max="11522" width="16.28515625" customWidth="1"/>
    <col min="11523" max="11523" width="13.140625" customWidth="1"/>
    <col min="11525" max="11525" width="13.5703125" customWidth="1"/>
    <col min="11527" max="11527" width="14.7109375" customWidth="1"/>
    <col min="11529" max="11529" width="15.28515625" customWidth="1"/>
    <col min="11531" max="11531" width="13.85546875" customWidth="1"/>
    <col min="11533" max="11533" width="13.5703125" customWidth="1"/>
    <col min="11534" max="11534" width="14.28515625" customWidth="1"/>
    <col min="11535" max="11536" width="13" customWidth="1"/>
    <col min="11538" max="11538" width="13.85546875" customWidth="1"/>
    <col min="11539" max="11539" width="12" bestFit="1" customWidth="1"/>
    <col min="11777" max="11777" width="14.42578125" customWidth="1"/>
    <col min="11778" max="11778" width="16.28515625" customWidth="1"/>
    <col min="11779" max="11779" width="13.140625" customWidth="1"/>
    <col min="11781" max="11781" width="13.5703125" customWidth="1"/>
    <col min="11783" max="11783" width="14.7109375" customWidth="1"/>
    <col min="11785" max="11785" width="15.28515625" customWidth="1"/>
    <col min="11787" max="11787" width="13.85546875" customWidth="1"/>
    <col min="11789" max="11789" width="13.5703125" customWidth="1"/>
    <col min="11790" max="11790" width="14.28515625" customWidth="1"/>
    <col min="11791" max="11792" width="13" customWidth="1"/>
    <col min="11794" max="11794" width="13.85546875" customWidth="1"/>
    <col min="11795" max="11795" width="12" bestFit="1" customWidth="1"/>
    <col min="12033" max="12033" width="14.42578125" customWidth="1"/>
    <col min="12034" max="12034" width="16.28515625" customWidth="1"/>
    <col min="12035" max="12035" width="13.140625" customWidth="1"/>
    <col min="12037" max="12037" width="13.5703125" customWidth="1"/>
    <col min="12039" max="12039" width="14.7109375" customWidth="1"/>
    <col min="12041" max="12041" width="15.28515625" customWidth="1"/>
    <col min="12043" max="12043" width="13.85546875" customWidth="1"/>
    <col min="12045" max="12045" width="13.5703125" customWidth="1"/>
    <col min="12046" max="12046" width="14.28515625" customWidth="1"/>
    <col min="12047" max="12048" width="13" customWidth="1"/>
    <col min="12050" max="12050" width="13.85546875" customWidth="1"/>
    <col min="12051" max="12051" width="12" bestFit="1" customWidth="1"/>
    <col min="12289" max="12289" width="14.42578125" customWidth="1"/>
    <col min="12290" max="12290" width="16.28515625" customWidth="1"/>
    <col min="12291" max="12291" width="13.140625" customWidth="1"/>
    <col min="12293" max="12293" width="13.5703125" customWidth="1"/>
    <col min="12295" max="12295" width="14.7109375" customWidth="1"/>
    <col min="12297" max="12297" width="15.28515625" customWidth="1"/>
    <col min="12299" max="12299" width="13.85546875" customWidth="1"/>
    <col min="12301" max="12301" width="13.5703125" customWidth="1"/>
    <col min="12302" max="12302" width="14.28515625" customWidth="1"/>
    <col min="12303" max="12304" width="13" customWidth="1"/>
    <col min="12306" max="12306" width="13.85546875" customWidth="1"/>
    <col min="12307" max="12307" width="12" bestFit="1" customWidth="1"/>
    <col min="12545" max="12545" width="14.42578125" customWidth="1"/>
    <col min="12546" max="12546" width="16.28515625" customWidth="1"/>
    <col min="12547" max="12547" width="13.140625" customWidth="1"/>
    <col min="12549" max="12549" width="13.5703125" customWidth="1"/>
    <col min="12551" max="12551" width="14.7109375" customWidth="1"/>
    <col min="12553" max="12553" width="15.28515625" customWidth="1"/>
    <col min="12555" max="12555" width="13.85546875" customWidth="1"/>
    <col min="12557" max="12557" width="13.5703125" customWidth="1"/>
    <col min="12558" max="12558" width="14.28515625" customWidth="1"/>
    <col min="12559" max="12560" width="13" customWidth="1"/>
    <col min="12562" max="12562" width="13.85546875" customWidth="1"/>
    <col min="12563" max="12563" width="12" bestFit="1" customWidth="1"/>
    <col min="12801" max="12801" width="14.42578125" customWidth="1"/>
    <col min="12802" max="12802" width="16.28515625" customWidth="1"/>
    <col min="12803" max="12803" width="13.140625" customWidth="1"/>
    <col min="12805" max="12805" width="13.5703125" customWidth="1"/>
    <col min="12807" max="12807" width="14.7109375" customWidth="1"/>
    <col min="12809" max="12809" width="15.28515625" customWidth="1"/>
    <col min="12811" max="12811" width="13.85546875" customWidth="1"/>
    <col min="12813" max="12813" width="13.5703125" customWidth="1"/>
    <col min="12814" max="12814" width="14.28515625" customWidth="1"/>
    <col min="12815" max="12816" width="13" customWidth="1"/>
    <col min="12818" max="12818" width="13.85546875" customWidth="1"/>
    <col min="12819" max="12819" width="12" bestFit="1" customWidth="1"/>
    <col min="13057" max="13057" width="14.42578125" customWidth="1"/>
    <col min="13058" max="13058" width="16.28515625" customWidth="1"/>
    <col min="13059" max="13059" width="13.140625" customWidth="1"/>
    <col min="13061" max="13061" width="13.5703125" customWidth="1"/>
    <col min="13063" max="13063" width="14.7109375" customWidth="1"/>
    <col min="13065" max="13065" width="15.28515625" customWidth="1"/>
    <col min="13067" max="13067" width="13.85546875" customWidth="1"/>
    <col min="13069" max="13069" width="13.5703125" customWidth="1"/>
    <col min="13070" max="13070" width="14.28515625" customWidth="1"/>
    <col min="13071" max="13072" width="13" customWidth="1"/>
    <col min="13074" max="13074" width="13.85546875" customWidth="1"/>
    <col min="13075" max="13075" width="12" bestFit="1" customWidth="1"/>
    <col min="13313" max="13313" width="14.42578125" customWidth="1"/>
    <col min="13314" max="13314" width="16.28515625" customWidth="1"/>
    <col min="13315" max="13315" width="13.140625" customWidth="1"/>
    <col min="13317" max="13317" width="13.5703125" customWidth="1"/>
    <col min="13319" max="13319" width="14.7109375" customWidth="1"/>
    <col min="13321" max="13321" width="15.28515625" customWidth="1"/>
    <col min="13323" max="13323" width="13.85546875" customWidth="1"/>
    <col min="13325" max="13325" width="13.5703125" customWidth="1"/>
    <col min="13326" max="13326" width="14.28515625" customWidth="1"/>
    <col min="13327" max="13328" width="13" customWidth="1"/>
    <col min="13330" max="13330" width="13.85546875" customWidth="1"/>
    <col min="13331" max="13331" width="12" bestFit="1" customWidth="1"/>
    <col min="13569" max="13569" width="14.42578125" customWidth="1"/>
    <col min="13570" max="13570" width="16.28515625" customWidth="1"/>
    <col min="13571" max="13571" width="13.140625" customWidth="1"/>
    <col min="13573" max="13573" width="13.5703125" customWidth="1"/>
    <col min="13575" max="13575" width="14.7109375" customWidth="1"/>
    <col min="13577" max="13577" width="15.28515625" customWidth="1"/>
    <col min="13579" max="13579" width="13.85546875" customWidth="1"/>
    <col min="13581" max="13581" width="13.5703125" customWidth="1"/>
    <col min="13582" max="13582" width="14.28515625" customWidth="1"/>
    <col min="13583" max="13584" width="13" customWidth="1"/>
    <col min="13586" max="13586" width="13.85546875" customWidth="1"/>
    <col min="13587" max="13587" width="12" bestFit="1" customWidth="1"/>
    <col min="13825" max="13825" width="14.42578125" customWidth="1"/>
    <col min="13826" max="13826" width="16.28515625" customWidth="1"/>
    <col min="13827" max="13827" width="13.140625" customWidth="1"/>
    <col min="13829" max="13829" width="13.5703125" customWidth="1"/>
    <col min="13831" max="13831" width="14.7109375" customWidth="1"/>
    <col min="13833" max="13833" width="15.28515625" customWidth="1"/>
    <col min="13835" max="13835" width="13.85546875" customWidth="1"/>
    <col min="13837" max="13837" width="13.5703125" customWidth="1"/>
    <col min="13838" max="13838" width="14.28515625" customWidth="1"/>
    <col min="13839" max="13840" width="13" customWidth="1"/>
    <col min="13842" max="13842" width="13.85546875" customWidth="1"/>
    <col min="13843" max="13843" width="12" bestFit="1" customWidth="1"/>
    <col min="14081" max="14081" width="14.42578125" customWidth="1"/>
    <col min="14082" max="14082" width="16.28515625" customWidth="1"/>
    <col min="14083" max="14083" width="13.140625" customWidth="1"/>
    <col min="14085" max="14085" width="13.5703125" customWidth="1"/>
    <col min="14087" max="14087" width="14.7109375" customWidth="1"/>
    <col min="14089" max="14089" width="15.28515625" customWidth="1"/>
    <col min="14091" max="14091" width="13.85546875" customWidth="1"/>
    <col min="14093" max="14093" width="13.5703125" customWidth="1"/>
    <col min="14094" max="14094" width="14.28515625" customWidth="1"/>
    <col min="14095" max="14096" width="13" customWidth="1"/>
    <col min="14098" max="14098" width="13.85546875" customWidth="1"/>
    <col min="14099" max="14099" width="12" bestFit="1" customWidth="1"/>
    <col min="14337" max="14337" width="14.42578125" customWidth="1"/>
    <col min="14338" max="14338" width="16.28515625" customWidth="1"/>
    <col min="14339" max="14339" width="13.140625" customWidth="1"/>
    <col min="14341" max="14341" width="13.5703125" customWidth="1"/>
    <col min="14343" max="14343" width="14.7109375" customWidth="1"/>
    <col min="14345" max="14345" width="15.28515625" customWidth="1"/>
    <col min="14347" max="14347" width="13.85546875" customWidth="1"/>
    <col min="14349" max="14349" width="13.5703125" customWidth="1"/>
    <col min="14350" max="14350" width="14.28515625" customWidth="1"/>
    <col min="14351" max="14352" width="13" customWidth="1"/>
    <col min="14354" max="14354" width="13.85546875" customWidth="1"/>
    <col min="14355" max="14355" width="12" bestFit="1" customWidth="1"/>
    <col min="14593" max="14593" width="14.42578125" customWidth="1"/>
    <col min="14594" max="14594" width="16.28515625" customWidth="1"/>
    <col min="14595" max="14595" width="13.140625" customWidth="1"/>
    <col min="14597" max="14597" width="13.5703125" customWidth="1"/>
    <col min="14599" max="14599" width="14.7109375" customWidth="1"/>
    <col min="14601" max="14601" width="15.28515625" customWidth="1"/>
    <col min="14603" max="14603" width="13.85546875" customWidth="1"/>
    <col min="14605" max="14605" width="13.5703125" customWidth="1"/>
    <col min="14606" max="14606" width="14.28515625" customWidth="1"/>
    <col min="14607" max="14608" width="13" customWidth="1"/>
    <col min="14610" max="14610" width="13.85546875" customWidth="1"/>
    <col min="14611" max="14611" width="12" bestFit="1" customWidth="1"/>
    <col min="14849" max="14849" width="14.42578125" customWidth="1"/>
    <col min="14850" max="14850" width="16.28515625" customWidth="1"/>
    <col min="14851" max="14851" width="13.140625" customWidth="1"/>
    <col min="14853" max="14853" width="13.5703125" customWidth="1"/>
    <col min="14855" max="14855" width="14.7109375" customWidth="1"/>
    <col min="14857" max="14857" width="15.28515625" customWidth="1"/>
    <col min="14859" max="14859" width="13.85546875" customWidth="1"/>
    <col min="14861" max="14861" width="13.5703125" customWidth="1"/>
    <col min="14862" max="14862" width="14.28515625" customWidth="1"/>
    <col min="14863" max="14864" width="13" customWidth="1"/>
    <col min="14866" max="14866" width="13.85546875" customWidth="1"/>
    <col min="14867" max="14867" width="12" bestFit="1" customWidth="1"/>
    <col min="15105" max="15105" width="14.42578125" customWidth="1"/>
    <col min="15106" max="15106" width="16.28515625" customWidth="1"/>
    <col min="15107" max="15107" width="13.140625" customWidth="1"/>
    <col min="15109" max="15109" width="13.5703125" customWidth="1"/>
    <col min="15111" max="15111" width="14.7109375" customWidth="1"/>
    <col min="15113" max="15113" width="15.28515625" customWidth="1"/>
    <col min="15115" max="15115" width="13.85546875" customWidth="1"/>
    <col min="15117" max="15117" width="13.5703125" customWidth="1"/>
    <col min="15118" max="15118" width="14.28515625" customWidth="1"/>
    <col min="15119" max="15120" width="13" customWidth="1"/>
    <col min="15122" max="15122" width="13.85546875" customWidth="1"/>
    <col min="15123" max="15123" width="12" bestFit="1" customWidth="1"/>
    <col min="15361" max="15361" width="14.42578125" customWidth="1"/>
    <col min="15362" max="15362" width="16.28515625" customWidth="1"/>
    <col min="15363" max="15363" width="13.140625" customWidth="1"/>
    <col min="15365" max="15365" width="13.5703125" customWidth="1"/>
    <col min="15367" max="15367" width="14.7109375" customWidth="1"/>
    <col min="15369" max="15369" width="15.28515625" customWidth="1"/>
    <col min="15371" max="15371" width="13.85546875" customWidth="1"/>
    <col min="15373" max="15373" width="13.5703125" customWidth="1"/>
    <col min="15374" max="15374" width="14.28515625" customWidth="1"/>
    <col min="15375" max="15376" width="13" customWidth="1"/>
    <col min="15378" max="15378" width="13.85546875" customWidth="1"/>
    <col min="15379" max="15379" width="12" bestFit="1" customWidth="1"/>
    <col min="15617" max="15617" width="14.42578125" customWidth="1"/>
    <col min="15618" max="15618" width="16.28515625" customWidth="1"/>
    <col min="15619" max="15619" width="13.140625" customWidth="1"/>
    <col min="15621" max="15621" width="13.5703125" customWidth="1"/>
    <col min="15623" max="15623" width="14.7109375" customWidth="1"/>
    <col min="15625" max="15625" width="15.28515625" customWidth="1"/>
    <col min="15627" max="15627" width="13.85546875" customWidth="1"/>
    <col min="15629" max="15629" width="13.5703125" customWidth="1"/>
    <col min="15630" max="15630" width="14.28515625" customWidth="1"/>
    <col min="15631" max="15632" width="13" customWidth="1"/>
    <col min="15634" max="15634" width="13.85546875" customWidth="1"/>
    <col min="15635" max="15635" width="12" bestFit="1" customWidth="1"/>
    <col min="15873" max="15873" width="14.42578125" customWidth="1"/>
    <col min="15874" max="15874" width="16.28515625" customWidth="1"/>
    <col min="15875" max="15875" width="13.140625" customWidth="1"/>
    <col min="15877" max="15877" width="13.5703125" customWidth="1"/>
    <col min="15879" max="15879" width="14.7109375" customWidth="1"/>
    <col min="15881" max="15881" width="15.28515625" customWidth="1"/>
    <col min="15883" max="15883" width="13.85546875" customWidth="1"/>
    <col min="15885" max="15885" width="13.5703125" customWidth="1"/>
    <col min="15886" max="15886" width="14.28515625" customWidth="1"/>
    <col min="15887" max="15888" width="13" customWidth="1"/>
    <col min="15890" max="15890" width="13.85546875" customWidth="1"/>
    <col min="15891" max="15891" width="12" bestFit="1" customWidth="1"/>
    <col min="16129" max="16129" width="14.42578125" customWidth="1"/>
    <col min="16130" max="16130" width="16.28515625" customWidth="1"/>
    <col min="16131" max="16131" width="13.140625" customWidth="1"/>
    <col min="16133" max="16133" width="13.5703125" customWidth="1"/>
    <col min="16135" max="16135" width="14.7109375" customWidth="1"/>
    <col min="16137" max="16137" width="15.28515625" customWidth="1"/>
    <col min="16139" max="16139" width="13.85546875" customWidth="1"/>
    <col min="16141" max="16141" width="13.5703125" customWidth="1"/>
    <col min="16142" max="16142" width="14.28515625" customWidth="1"/>
    <col min="16143" max="16144" width="13" customWidth="1"/>
    <col min="16146" max="16146" width="13.85546875" customWidth="1"/>
    <col min="16147" max="16147" width="12" bestFit="1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2000</v>
      </c>
      <c r="B6">
        <v>0</v>
      </c>
      <c r="C6">
        <v>895.46169999999995</v>
      </c>
      <c r="D6">
        <v>0</v>
      </c>
      <c r="E6">
        <v>698.36788000000001</v>
      </c>
      <c r="F6">
        <v>0</v>
      </c>
      <c r="G6">
        <v>280.88227999999998</v>
      </c>
      <c r="H6">
        <v>1</v>
      </c>
      <c r="I6">
        <v>103.83382799999998</v>
      </c>
      <c r="J6">
        <v>0</v>
      </c>
      <c r="K6">
        <v>40.557873999999998</v>
      </c>
      <c r="L6">
        <v>1</v>
      </c>
      <c r="M6">
        <v>18.187735999999997</v>
      </c>
      <c r="N6">
        <v>0</v>
      </c>
      <c r="O6">
        <v>8.6489998000000003</v>
      </c>
      <c r="P6" s="3">
        <f>(B6*C6)+(D6*E6)+(F6*G6)+(H6*I6)+(J6*K6)+(L6*M6)+(N6*O6)</f>
        <v>122.02156399999998</v>
      </c>
    </row>
    <row r="7" spans="1:19" x14ac:dyDescent="0.2">
      <c r="A7">
        <v>4000</v>
      </c>
      <c r="B7">
        <v>1</v>
      </c>
      <c r="C7">
        <v>895.46169999999995</v>
      </c>
      <c r="D7">
        <v>2</v>
      </c>
      <c r="E7">
        <v>698.36788000000001</v>
      </c>
      <c r="F7">
        <v>1</v>
      </c>
      <c r="G7">
        <v>280.88227999999998</v>
      </c>
      <c r="H7">
        <v>3</v>
      </c>
      <c r="I7">
        <v>103.83382799999998</v>
      </c>
      <c r="J7">
        <v>1</v>
      </c>
      <c r="K7">
        <v>40.557873999999998</v>
      </c>
      <c r="L7">
        <v>3</v>
      </c>
      <c r="M7">
        <v>18.187735999999997</v>
      </c>
      <c r="N7">
        <v>0</v>
      </c>
      <c r="O7">
        <v>8.6489998000000003</v>
      </c>
      <c r="P7" s="3">
        <f t="shared" ref="P7:P21" si="0">(B7*C7)+(D7*E7)+(F7*G7)+(H7*I7)+(J7*K7)+(L7*M7)+(N7*O7)</f>
        <v>2979.7023059999997</v>
      </c>
    </row>
    <row r="8" spans="1:19" x14ac:dyDescent="0.2">
      <c r="A8">
        <v>6000</v>
      </c>
      <c r="B8">
        <v>1</v>
      </c>
      <c r="C8">
        <v>895.46169999999995</v>
      </c>
      <c r="D8">
        <v>2</v>
      </c>
      <c r="E8">
        <v>698.36788000000001</v>
      </c>
      <c r="F8">
        <v>6</v>
      </c>
      <c r="G8">
        <v>280.88227999999998</v>
      </c>
      <c r="H8">
        <v>2</v>
      </c>
      <c r="I8">
        <v>103.83382799999998</v>
      </c>
      <c r="J8">
        <v>3</v>
      </c>
      <c r="K8">
        <v>40.557873999999998</v>
      </c>
      <c r="L8">
        <v>4</v>
      </c>
      <c r="M8">
        <v>18.187735999999997</v>
      </c>
      <c r="N8">
        <v>0</v>
      </c>
      <c r="O8">
        <v>8.6489998000000003</v>
      </c>
      <c r="P8" s="3">
        <f t="shared" si="0"/>
        <v>4379.5833620000003</v>
      </c>
    </row>
    <row r="9" spans="1:19" x14ac:dyDescent="0.2">
      <c r="A9">
        <v>8000</v>
      </c>
      <c r="B9">
        <v>1</v>
      </c>
      <c r="C9">
        <v>895.46169999999995</v>
      </c>
      <c r="D9">
        <v>0</v>
      </c>
      <c r="E9">
        <v>698.36788000000001</v>
      </c>
      <c r="F9">
        <v>1</v>
      </c>
      <c r="G9">
        <v>280.88227999999998</v>
      </c>
      <c r="H9">
        <v>3</v>
      </c>
      <c r="I9">
        <v>103.83382799999998</v>
      </c>
      <c r="J9">
        <v>5</v>
      </c>
      <c r="K9">
        <v>40.557873999999998</v>
      </c>
      <c r="L9">
        <v>1</v>
      </c>
      <c r="M9">
        <v>18.187735999999997</v>
      </c>
      <c r="N9">
        <v>3</v>
      </c>
      <c r="O9">
        <v>8.6489998000000003</v>
      </c>
      <c r="P9" s="3">
        <f t="shared" si="0"/>
        <v>1734.7695693999999</v>
      </c>
    </row>
    <row r="10" spans="1:19" x14ac:dyDescent="0.2">
      <c r="A10">
        <v>10000</v>
      </c>
      <c r="B10">
        <v>50</v>
      </c>
      <c r="C10">
        <v>895.46169999999995</v>
      </c>
      <c r="D10">
        <v>34</v>
      </c>
      <c r="E10">
        <v>698.36788000000001</v>
      </c>
      <c r="F10">
        <v>64</v>
      </c>
      <c r="G10">
        <v>280.88227999999998</v>
      </c>
      <c r="H10">
        <v>164</v>
      </c>
      <c r="I10">
        <v>103.83382799999998</v>
      </c>
      <c r="J10">
        <v>252</v>
      </c>
      <c r="K10">
        <v>40.557873999999998</v>
      </c>
      <c r="L10">
        <v>287</v>
      </c>
      <c r="M10">
        <v>18.187735999999997</v>
      </c>
      <c r="N10">
        <v>219</v>
      </c>
      <c r="O10">
        <v>8.6489998000000003</v>
      </c>
      <c r="P10" s="3">
        <f t="shared" si="0"/>
        <v>120857.40206819998</v>
      </c>
    </row>
    <row r="11" spans="1:19" x14ac:dyDescent="0.2">
      <c r="A11">
        <v>20000</v>
      </c>
      <c r="B11">
        <v>22</v>
      </c>
      <c r="C11">
        <v>895.46169999999995</v>
      </c>
      <c r="D11">
        <v>37</v>
      </c>
      <c r="E11">
        <v>698.36788000000001</v>
      </c>
      <c r="F11">
        <v>121</v>
      </c>
      <c r="G11">
        <v>280.88227999999998</v>
      </c>
      <c r="H11">
        <v>270</v>
      </c>
      <c r="I11">
        <v>103.83382799999998</v>
      </c>
      <c r="J11">
        <v>498</v>
      </c>
      <c r="K11">
        <v>40.557873999999998</v>
      </c>
      <c r="L11">
        <v>533</v>
      </c>
      <c r="M11">
        <v>18.187735999999997</v>
      </c>
      <c r="N11">
        <v>363</v>
      </c>
      <c r="O11">
        <v>8.6489998000000003</v>
      </c>
      <c r="P11" s="3">
        <f t="shared" si="0"/>
        <v>140593.12986739998</v>
      </c>
    </row>
    <row r="12" spans="1:19" x14ac:dyDescent="0.2">
      <c r="A12">
        <v>30000</v>
      </c>
      <c r="B12">
        <v>15</v>
      </c>
      <c r="C12">
        <v>895.46169999999995</v>
      </c>
      <c r="D12">
        <v>23</v>
      </c>
      <c r="E12">
        <v>698.36788000000001</v>
      </c>
      <c r="F12">
        <v>55</v>
      </c>
      <c r="G12">
        <v>280.88227999999998</v>
      </c>
      <c r="H12">
        <v>157</v>
      </c>
      <c r="I12">
        <v>103.83382799999998</v>
      </c>
      <c r="J12">
        <v>328</v>
      </c>
      <c r="K12">
        <v>40.557873999999998</v>
      </c>
      <c r="L12">
        <v>359</v>
      </c>
      <c r="M12">
        <v>18.187735999999997</v>
      </c>
      <c r="N12">
        <v>242</v>
      </c>
      <c r="O12">
        <v>8.6489998000000003</v>
      </c>
      <c r="P12" s="3">
        <f t="shared" si="0"/>
        <v>83170.260983600005</v>
      </c>
    </row>
    <row r="13" spans="1:19" x14ac:dyDescent="0.2">
      <c r="A13">
        <v>40000</v>
      </c>
      <c r="B13">
        <v>7</v>
      </c>
      <c r="C13">
        <v>895.46169999999995</v>
      </c>
      <c r="D13">
        <v>20</v>
      </c>
      <c r="E13">
        <v>698.36788000000001</v>
      </c>
      <c r="F13">
        <v>39</v>
      </c>
      <c r="G13">
        <v>280.88227999999998</v>
      </c>
      <c r="H13">
        <v>109</v>
      </c>
      <c r="I13">
        <v>103.83382799999998</v>
      </c>
      <c r="J13">
        <v>199</v>
      </c>
      <c r="K13">
        <v>40.557873999999998</v>
      </c>
      <c r="L13">
        <v>291</v>
      </c>
      <c r="M13">
        <v>18.187735999999997</v>
      </c>
      <c r="N13">
        <v>155</v>
      </c>
      <c r="O13">
        <v>8.6489998000000003</v>
      </c>
      <c r="P13" s="3">
        <f t="shared" si="0"/>
        <v>57212.128742999994</v>
      </c>
      <c r="Q13" s="3">
        <f t="shared" ref="Q13:Q19" si="1">Q14+P13</f>
        <v>196043.98305379995</v>
      </c>
      <c r="R13">
        <v>3549328</v>
      </c>
      <c r="S13" s="21">
        <f t="shared" ref="S13:S20" si="2">(Q13/R13)*100</f>
        <v>5.5234112782419649</v>
      </c>
    </row>
    <row r="14" spans="1:19" x14ac:dyDescent="0.2">
      <c r="A14">
        <v>50000</v>
      </c>
      <c r="B14">
        <v>5</v>
      </c>
      <c r="C14">
        <v>895.46169999999995</v>
      </c>
      <c r="D14">
        <v>5</v>
      </c>
      <c r="E14">
        <v>698.36788000000001</v>
      </c>
      <c r="F14">
        <v>25</v>
      </c>
      <c r="G14">
        <v>280.88227999999998</v>
      </c>
      <c r="H14">
        <v>61</v>
      </c>
      <c r="I14">
        <v>103.83382799999998</v>
      </c>
      <c r="J14">
        <v>153</v>
      </c>
      <c r="K14">
        <v>40.557873999999998</v>
      </c>
      <c r="L14">
        <v>197</v>
      </c>
      <c r="M14">
        <v>18.187735999999997</v>
      </c>
      <c r="N14">
        <v>107</v>
      </c>
      <c r="O14">
        <v>8.6489998000000003</v>
      </c>
      <c r="P14" s="3">
        <f t="shared" si="0"/>
        <v>32038.850100599997</v>
      </c>
      <c r="Q14" s="3">
        <f t="shared" si="1"/>
        <v>138831.85431079997</v>
      </c>
      <c r="R14">
        <v>3549328</v>
      </c>
      <c r="S14" s="24">
        <f t="shared" si="2"/>
        <v>3.9114968892928452</v>
      </c>
    </row>
    <row r="15" spans="1:19" x14ac:dyDescent="0.2">
      <c r="A15">
        <v>60000</v>
      </c>
      <c r="B15">
        <v>3</v>
      </c>
      <c r="C15">
        <v>895.46169999999995</v>
      </c>
      <c r="D15">
        <v>5</v>
      </c>
      <c r="E15">
        <v>698.36788000000001</v>
      </c>
      <c r="F15">
        <v>36</v>
      </c>
      <c r="G15">
        <v>280.88227999999998</v>
      </c>
      <c r="H15">
        <v>109</v>
      </c>
      <c r="I15">
        <v>103.83382799999998</v>
      </c>
      <c r="J15">
        <v>171</v>
      </c>
      <c r="K15">
        <v>40.557873999999998</v>
      </c>
      <c r="L15">
        <v>288</v>
      </c>
      <c r="M15">
        <v>18.187735999999997</v>
      </c>
      <c r="N15">
        <v>181</v>
      </c>
      <c r="O15">
        <v>8.6489998000000003</v>
      </c>
      <c r="P15" s="3">
        <f t="shared" si="0"/>
        <v>41346.8072178</v>
      </c>
      <c r="Q15" s="3">
        <f t="shared" si="1"/>
        <v>106793.00421019999</v>
      </c>
      <c r="R15">
        <v>3549328</v>
      </c>
      <c r="S15" s="24">
        <f t="shared" si="2"/>
        <v>3.0088231972418438</v>
      </c>
    </row>
    <row r="16" spans="1:19" x14ac:dyDescent="0.2">
      <c r="A16">
        <v>80000</v>
      </c>
      <c r="B16">
        <v>0</v>
      </c>
      <c r="C16">
        <v>895.46169999999995</v>
      </c>
      <c r="D16">
        <v>8</v>
      </c>
      <c r="E16">
        <v>698.36788000000001</v>
      </c>
      <c r="F16">
        <v>15</v>
      </c>
      <c r="G16">
        <v>280.88227999999998</v>
      </c>
      <c r="H16">
        <v>49</v>
      </c>
      <c r="I16">
        <v>103.83382799999998</v>
      </c>
      <c r="J16">
        <v>115</v>
      </c>
      <c r="K16">
        <v>40.557873999999998</v>
      </c>
      <c r="L16">
        <v>140</v>
      </c>
      <c r="M16">
        <v>18.187735999999997</v>
      </c>
      <c r="N16">
        <v>95</v>
      </c>
      <c r="O16">
        <v>8.6489998000000003</v>
      </c>
      <c r="P16" s="3">
        <f t="shared" si="0"/>
        <v>22920.128342999997</v>
      </c>
      <c r="Q16" s="3">
        <f t="shared" si="1"/>
        <v>65446.196992399993</v>
      </c>
      <c r="R16">
        <v>3549328</v>
      </c>
      <c r="S16" s="24">
        <f t="shared" si="2"/>
        <v>1.8439038880712064</v>
      </c>
    </row>
    <row r="17" spans="1:19" x14ac:dyDescent="0.2">
      <c r="A17">
        <v>100000</v>
      </c>
      <c r="B17">
        <v>0</v>
      </c>
      <c r="C17">
        <v>895.46169999999995</v>
      </c>
      <c r="D17">
        <v>2</v>
      </c>
      <c r="E17">
        <v>698.36788000000001</v>
      </c>
      <c r="F17">
        <v>4</v>
      </c>
      <c r="G17">
        <v>280.88227999999998</v>
      </c>
      <c r="H17">
        <v>40</v>
      </c>
      <c r="I17">
        <v>103.83382799999998</v>
      </c>
      <c r="J17">
        <v>75</v>
      </c>
      <c r="K17">
        <v>40.557873999999998</v>
      </c>
      <c r="L17">
        <v>101</v>
      </c>
      <c r="M17">
        <v>18.187735999999997</v>
      </c>
      <c r="N17">
        <v>49</v>
      </c>
      <c r="O17">
        <v>8.6489998000000003</v>
      </c>
      <c r="P17" s="3">
        <f t="shared" si="0"/>
        <v>11976.220876199999</v>
      </c>
      <c r="Q17" s="3">
        <f t="shared" si="1"/>
        <v>42526.068649399997</v>
      </c>
      <c r="R17">
        <v>3549328</v>
      </c>
      <c r="S17" s="24">
        <f t="shared" si="2"/>
        <v>1.1981442303838923</v>
      </c>
    </row>
    <row r="18" spans="1:19" x14ac:dyDescent="0.2">
      <c r="A18">
        <v>120000</v>
      </c>
      <c r="B18">
        <v>0</v>
      </c>
      <c r="C18">
        <v>895.46169999999995</v>
      </c>
      <c r="D18">
        <v>1</v>
      </c>
      <c r="E18">
        <v>698.36788000000001</v>
      </c>
      <c r="F18">
        <v>6</v>
      </c>
      <c r="G18">
        <v>280.88227999999998</v>
      </c>
      <c r="H18">
        <v>27</v>
      </c>
      <c r="I18">
        <v>103.83382799999998</v>
      </c>
      <c r="J18">
        <v>50</v>
      </c>
      <c r="K18">
        <v>40.557873999999998</v>
      </c>
      <c r="L18">
        <v>55</v>
      </c>
      <c r="M18">
        <v>18.187735999999997</v>
      </c>
      <c r="N18">
        <v>39</v>
      </c>
      <c r="O18">
        <v>8.6489998000000003</v>
      </c>
      <c r="P18" s="3">
        <f t="shared" si="0"/>
        <v>8552.7050881999985</v>
      </c>
      <c r="Q18" s="3">
        <f t="shared" si="1"/>
        <v>30549.847773199996</v>
      </c>
      <c r="R18">
        <v>3549328</v>
      </c>
      <c r="S18" s="24">
        <f t="shared" si="2"/>
        <v>0.8607220232449635</v>
      </c>
    </row>
    <row r="19" spans="1:19" x14ac:dyDescent="0.2">
      <c r="A19">
        <v>140000</v>
      </c>
      <c r="B19">
        <v>0</v>
      </c>
      <c r="C19">
        <v>895.46169999999995</v>
      </c>
      <c r="D19">
        <v>2</v>
      </c>
      <c r="E19">
        <v>698.36788000000001</v>
      </c>
      <c r="F19">
        <v>7</v>
      </c>
      <c r="G19">
        <v>280.88227999999998</v>
      </c>
      <c r="H19">
        <v>38</v>
      </c>
      <c r="I19">
        <v>103.83382799999998</v>
      </c>
      <c r="J19">
        <v>69</v>
      </c>
      <c r="K19">
        <v>40.557873999999998</v>
      </c>
      <c r="L19">
        <v>100</v>
      </c>
      <c r="M19">
        <v>18.187735999999997</v>
      </c>
      <c r="N19">
        <v>61</v>
      </c>
      <c r="O19">
        <v>8.6489998000000003</v>
      </c>
      <c r="P19" s="3">
        <f t="shared" si="0"/>
        <v>12453.453077799999</v>
      </c>
      <c r="Q19" s="3">
        <f t="shared" si="1"/>
        <v>21997.142684999999</v>
      </c>
      <c r="R19">
        <v>3549328</v>
      </c>
      <c r="S19" s="24">
        <f t="shared" si="2"/>
        <v>0.61975513914183189</v>
      </c>
    </row>
    <row r="20" spans="1:19" x14ac:dyDescent="0.2">
      <c r="A20" t="s">
        <v>10</v>
      </c>
      <c r="B20">
        <v>0</v>
      </c>
      <c r="C20">
        <v>895.46169999999995</v>
      </c>
      <c r="D20">
        <v>3</v>
      </c>
      <c r="E20">
        <v>698.36788000000001</v>
      </c>
      <c r="F20">
        <v>4</v>
      </c>
      <c r="G20">
        <v>280.88227999999998</v>
      </c>
      <c r="H20">
        <v>23</v>
      </c>
      <c r="I20">
        <v>103.83382799999998</v>
      </c>
      <c r="J20">
        <v>49</v>
      </c>
      <c r="K20">
        <v>40.557873999999998</v>
      </c>
      <c r="L20">
        <v>72</v>
      </c>
      <c r="M20">
        <v>18.187735999999997</v>
      </c>
      <c r="N20">
        <v>74</v>
      </c>
      <c r="O20">
        <v>8.6489998000000003</v>
      </c>
      <c r="P20" s="3">
        <f t="shared" si="0"/>
        <v>9543.6896072</v>
      </c>
      <c r="Q20" s="3">
        <f>P20</f>
        <v>9543.6896072</v>
      </c>
      <c r="R20">
        <v>3549328</v>
      </c>
      <c r="S20" s="24">
        <f t="shared" si="2"/>
        <v>0.26888722617915278</v>
      </c>
    </row>
    <row r="21" spans="1:19" x14ac:dyDescent="0.2">
      <c r="A21" t="s">
        <v>3</v>
      </c>
      <c r="B21">
        <f t="shared" ref="B21:N21" si="3">SUM(B6:B20)</f>
        <v>105</v>
      </c>
      <c r="C21">
        <v>895.46169999999995</v>
      </c>
      <c r="D21">
        <f t="shared" si="3"/>
        <v>144</v>
      </c>
      <c r="E21">
        <v>698.36788000000001</v>
      </c>
      <c r="F21">
        <f t="shared" si="3"/>
        <v>384</v>
      </c>
      <c r="G21">
        <v>280.88227999999998</v>
      </c>
      <c r="H21">
        <f t="shared" si="3"/>
        <v>1056</v>
      </c>
      <c r="I21">
        <v>103.83382799999998</v>
      </c>
      <c r="J21">
        <f t="shared" si="3"/>
        <v>1968</v>
      </c>
      <c r="K21">
        <v>40.557873999999998</v>
      </c>
      <c r="L21">
        <f t="shared" si="3"/>
        <v>2432</v>
      </c>
      <c r="M21">
        <v>18.187735999999997</v>
      </c>
      <c r="N21">
        <f t="shared" si="3"/>
        <v>1588</v>
      </c>
      <c r="O21">
        <v>8.6489998000000003</v>
      </c>
      <c r="P21" s="3">
        <f t="shared" si="0"/>
        <v>549880.85277439991</v>
      </c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10</v>
      </c>
      <c r="B32" s="14">
        <v>5.0000000000000001E-4</v>
      </c>
      <c r="C32" s="4" t="s">
        <v>86</v>
      </c>
      <c r="K32" s="4">
        <v>2.3411580184962837</v>
      </c>
      <c r="L32" s="4">
        <v>15962.431754770067</v>
      </c>
      <c r="M32" s="20">
        <f t="shared" ref="M32:M37" si="4">POWER(B32,1/K32)</f>
        <v>3.8904622035987213E-2</v>
      </c>
      <c r="N32" s="8">
        <f t="shared" ref="N32:N37" si="5">L32/M32</f>
        <v>410296.53854507668</v>
      </c>
      <c r="O32" s="5">
        <v>3549328</v>
      </c>
      <c r="P32" s="8">
        <f>O32*(K32/(1-K32))*POWER(L32,K32)*(-1)*POWER(N32,1-K32)</f>
        <v>1271056248.1327653</v>
      </c>
      <c r="Q32" s="9">
        <f t="shared" ref="Q32:Q37" si="6">B32*O32</f>
        <v>1774.664</v>
      </c>
      <c r="R32" s="8">
        <f t="shared" ref="R32:R37" si="7">P32/Q32</f>
        <v>716223.60521922191</v>
      </c>
      <c r="S32" s="4">
        <f t="shared" ref="S32:S37" si="8">P32*9.2099*1.23</f>
        <v>14398750155.803883</v>
      </c>
    </row>
    <row r="33" spans="1:19" x14ac:dyDescent="0.2">
      <c r="A33" t="s">
        <v>10</v>
      </c>
      <c r="B33" s="14">
        <v>1E-3</v>
      </c>
      <c r="C33" s="4" t="s">
        <v>86</v>
      </c>
      <c r="K33" s="4">
        <v>2.3411580184962837</v>
      </c>
      <c r="L33" s="4">
        <v>15962.431754770067</v>
      </c>
      <c r="M33" s="20">
        <f t="shared" si="4"/>
        <v>5.2309776598834345E-2</v>
      </c>
      <c r="N33" s="8">
        <f t="shared" si="5"/>
        <v>305151.97717601736</v>
      </c>
      <c r="O33" s="5">
        <f>R13</f>
        <v>3549328</v>
      </c>
      <c r="P33" s="8">
        <f>O33*(K33/(1-K33))*POWER(L33,K33)*(POWER(N32,1-K33)-POWER(N33,1-K33))+P32</f>
        <v>1890658539.7723594</v>
      </c>
      <c r="Q33" s="9">
        <f t="shared" si="6"/>
        <v>3549.328</v>
      </c>
      <c r="R33" s="8">
        <f t="shared" si="7"/>
        <v>532680.70456502168</v>
      </c>
      <c r="S33" s="4">
        <f t="shared" si="8"/>
        <v>21417714585.102825</v>
      </c>
    </row>
    <row r="34" spans="1:19" x14ac:dyDescent="0.2">
      <c r="A34" t="s">
        <v>10</v>
      </c>
      <c r="B34" s="14">
        <v>2.5000000000000001E-3</v>
      </c>
      <c r="C34" s="4" t="s">
        <v>86</v>
      </c>
      <c r="K34" s="4">
        <v>2.3411580184962837</v>
      </c>
      <c r="L34" s="4">
        <v>15962.431754770067</v>
      </c>
      <c r="M34" s="20">
        <f t="shared" si="4"/>
        <v>7.7367503013827096E-2</v>
      </c>
      <c r="N34" s="8">
        <f t="shared" si="5"/>
        <v>206319.59327829495</v>
      </c>
      <c r="O34" s="5">
        <f>R14</f>
        <v>3549328</v>
      </c>
      <c r="P34" s="8">
        <f>O34*(K34/(1-K34))*POWER(L34,K34)*(POWER(N33,1-K34)-POWER(N34,1-K34))+P33</f>
        <v>3195783823.5549321</v>
      </c>
      <c r="Q34" s="9">
        <f t="shared" si="6"/>
        <v>8873.32</v>
      </c>
      <c r="R34" s="8">
        <f t="shared" si="7"/>
        <v>360156.49424960808</v>
      </c>
      <c r="S34" s="4">
        <f t="shared" si="8"/>
        <v>36202404806.967033</v>
      </c>
    </row>
    <row r="35" spans="1:19" x14ac:dyDescent="0.2">
      <c r="A35" t="s">
        <v>70</v>
      </c>
      <c r="B35" s="14">
        <v>5.0000000000000001E-3</v>
      </c>
      <c r="C35">
        <f>S20/100</f>
        <v>2.6888722617915278E-3</v>
      </c>
      <c r="D35">
        <f>S19/100</f>
        <v>6.1975513914183187E-3</v>
      </c>
      <c r="E35">
        <v>200000</v>
      </c>
      <c r="F35">
        <v>140000</v>
      </c>
      <c r="G35">
        <f>D35/C35</f>
        <v>2.3048887369937932</v>
      </c>
      <c r="H35">
        <f>LN(G35)</f>
        <v>0.83503240499887577</v>
      </c>
      <c r="I35">
        <f>E35/F35</f>
        <v>1.4285714285714286</v>
      </c>
      <c r="J35">
        <f>LN(I35)</f>
        <v>0.35667494393873239</v>
      </c>
      <c r="K35" s="4">
        <f>H35/J35</f>
        <v>2.3411580184962837</v>
      </c>
      <c r="L35" s="4">
        <f>F35*POWER(D35,1/K35)</f>
        <v>15962.431754770067</v>
      </c>
      <c r="M35" s="20">
        <f t="shared" si="4"/>
        <v>0.10402560381949849</v>
      </c>
      <c r="N35" s="8">
        <f t="shared" si="5"/>
        <v>153447.14347890264</v>
      </c>
      <c r="O35" s="5">
        <f>R15</f>
        <v>3549328</v>
      </c>
      <c r="P35" s="8">
        <f>O35*(K35/(1-K35))*POWER(L35,K35)*(POWER(N34,1-K35)-POWER(N35,1-K35))+P34</f>
        <v>4753633827.0998201</v>
      </c>
      <c r="Q35" s="9">
        <f t="shared" si="6"/>
        <v>17746.64</v>
      </c>
      <c r="R35" s="8">
        <f t="shared" si="7"/>
        <v>267861.06142344809</v>
      </c>
      <c r="S35" s="4">
        <f t="shared" si="8"/>
        <v>53850005386.57415</v>
      </c>
    </row>
    <row r="36" spans="1:19" x14ac:dyDescent="0.2">
      <c r="A36" t="s">
        <v>71</v>
      </c>
      <c r="B36" s="14">
        <v>0.01</v>
      </c>
      <c r="C36">
        <f>S18/100</f>
        <v>8.6072202324496347E-3</v>
      </c>
      <c r="D36">
        <f>S17/100</f>
        <v>1.1981442303838923E-2</v>
      </c>
      <c r="E36">
        <v>120000</v>
      </c>
      <c r="F36">
        <v>100000</v>
      </c>
      <c r="G36">
        <f>D36/C36</f>
        <v>1.3920222766774699</v>
      </c>
      <c r="H36">
        <f>LN(G36)</f>
        <v>0.33075756514442689</v>
      </c>
      <c r="I36">
        <f>E36/F36</f>
        <v>1.2</v>
      </c>
      <c r="J36">
        <f>LN(I36)</f>
        <v>0.18232155679395459</v>
      </c>
      <c r="K36" s="4">
        <f>H36/J36</f>
        <v>1.8141440373845805</v>
      </c>
      <c r="L36" s="4">
        <f>F36*POWER(D36,1/K36)</f>
        <v>8726.2533475290329</v>
      </c>
      <c r="M36" s="20">
        <f t="shared" si="4"/>
        <v>7.8986288195706175E-2</v>
      </c>
      <c r="N36" s="8">
        <f t="shared" si="5"/>
        <v>110478.07849772344</v>
      </c>
      <c r="O36" s="5">
        <f>R16</f>
        <v>3549328</v>
      </c>
      <c r="P36" s="8">
        <f>O36*(K36/(1-K36))*POWER(L36,K36)*(POWER(N35,1-K36)-POWER(N36,1-K36))+P35</f>
        <v>6804289510.8373194</v>
      </c>
      <c r="Q36" s="9">
        <f t="shared" si="6"/>
        <v>35493.279999999999</v>
      </c>
      <c r="R36" s="8">
        <f t="shared" si="7"/>
        <v>191706.41628041476</v>
      </c>
      <c r="S36" s="4">
        <f t="shared" si="8"/>
        <v>77080195938.008575</v>
      </c>
    </row>
    <row r="37" spans="1:19" x14ac:dyDescent="0.2">
      <c r="A37" t="s">
        <v>72</v>
      </c>
      <c r="B37" s="14">
        <v>0.02</v>
      </c>
      <c r="C37">
        <f>S16/100</f>
        <v>1.8439038880712064E-2</v>
      </c>
      <c r="D37">
        <f>S15/100</f>
        <v>3.0088231972418437E-2</v>
      </c>
      <c r="E37">
        <v>80000</v>
      </c>
      <c r="F37">
        <v>60000</v>
      </c>
      <c r="G37">
        <f>D37/C37</f>
        <v>1.6317679119323227</v>
      </c>
      <c r="H37">
        <f>LN(G37)</f>
        <v>0.48966403560321436</v>
      </c>
      <c r="I37">
        <f>E37/F37</f>
        <v>1.3333333333333333</v>
      </c>
      <c r="J37">
        <f>LN(I37)</f>
        <v>0.28768207245178085</v>
      </c>
      <c r="K37" s="4">
        <f>H37/J37</f>
        <v>1.7021013211912543</v>
      </c>
      <c r="L37" s="4">
        <f>F37*POWER(D37,1/K37)</f>
        <v>7659.4125202865043</v>
      </c>
      <c r="M37" s="20">
        <f t="shared" si="4"/>
        <v>0.10042449976960312</v>
      </c>
      <c r="N37" s="8">
        <f t="shared" si="5"/>
        <v>76270.357710110155</v>
      </c>
      <c r="O37" s="5">
        <f>R17</f>
        <v>3549328</v>
      </c>
      <c r="P37" s="8">
        <f>O37*(K37/(1-K37))*POWER(L37,K37)*(POWER(N36,1-K37)-POWER(N37,1-K37))+P36</f>
        <v>9810896996.6689777</v>
      </c>
      <c r="Q37" s="9">
        <f t="shared" si="6"/>
        <v>70986.559999999998</v>
      </c>
      <c r="R37" s="8">
        <f t="shared" si="7"/>
        <v>138207.80999486352</v>
      </c>
      <c r="S37" s="4">
        <f t="shared" si="8"/>
        <v>111139577707.03458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2000</v>
      </c>
      <c r="B50">
        <v>0</v>
      </c>
      <c r="C50">
        <v>2126.5398</v>
      </c>
      <c r="D50">
        <v>0</v>
      </c>
      <c r="E50">
        <v>1149.49296</v>
      </c>
      <c r="F50">
        <v>0</v>
      </c>
      <c r="G50">
        <v>461.52483999999993</v>
      </c>
      <c r="H50">
        <v>0</v>
      </c>
      <c r="I50">
        <v>191.33912000000001</v>
      </c>
      <c r="J50">
        <v>1</v>
      </c>
      <c r="K50">
        <v>80.425533999999999</v>
      </c>
      <c r="L50">
        <v>0</v>
      </c>
      <c r="M50">
        <v>29.426445999999995</v>
      </c>
      <c r="N50">
        <v>1</v>
      </c>
      <c r="O50">
        <v>10.433522399999999</v>
      </c>
      <c r="P50" s="3">
        <f>(B50*C50)+(D50*E50)+(F50*G50)+(H50*I50)+(J50*K50)+(L50*M50)+(N50*O50)</f>
        <v>90.8590564</v>
      </c>
      <c r="Q50" s="3"/>
    </row>
    <row r="51" spans="1:19" x14ac:dyDescent="0.2">
      <c r="A51">
        <v>4000</v>
      </c>
      <c r="B51">
        <v>0</v>
      </c>
      <c r="C51">
        <v>2126.5398</v>
      </c>
      <c r="D51">
        <v>0</v>
      </c>
      <c r="E51">
        <v>1149.49296</v>
      </c>
      <c r="F51">
        <v>0</v>
      </c>
      <c r="G51">
        <v>461.52483999999993</v>
      </c>
      <c r="H51">
        <v>1</v>
      </c>
      <c r="I51">
        <v>191.33912000000001</v>
      </c>
      <c r="J51">
        <v>1</v>
      </c>
      <c r="K51">
        <v>80.425533999999999</v>
      </c>
      <c r="L51">
        <v>0</v>
      </c>
      <c r="M51">
        <v>29.426445999999995</v>
      </c>
      <c r="N51">
        <v>0</v>
      </c>
      <c r="O51">
        <v>10.433522399999999</v>
      </c>
      <c r="P51" s="3">
        <f t="shared" ref="P51:P65" si="9">(B51*C51)+(D51*E51)+(F51*G51)+(H51*I51)+(J51*K51)+(L51*M51)+(N51*O51)</f>
        <v>271.76465400000001</v>
      </c>
      <c r="Q51" s="3"/>
    </row>
    <row r="52" spans="1:19" x14ac:dyDescent="0.2">
      <c r="A52">
        <v>6000</v>
      </c>
      <c r="B52">
        <v>0</v>
      </c>
      <c r="C52">
        <v>2126.5398</v>
      </c>
      <c r="D52">
        <v>1</v>
      </c>
      <c r="E52">
        <v>1149.49296</v>
      </c>
      <c r="F52">
        <v>2</v>
      </c>
      <c r="G52">
        <v>461.52483999999993</v>
      </c>
      <c r="H52">
        <v>0</v>
      </c>
      <c r="I52">
        <v>191.33912000000001</v>
      </c>
      <c r="J52">
        <v>3</v>
      </c>
      <c r="K52">
        <v>80.425533999999999</v>
      </c>
      <c r="L52">
        <v>3</v>
      </c>
      <c r="M52">
        <v>29.426445999999995</v>
      </c>
      <c r="N52">
        <v>4</v>
      </c>
      <c r="O52">
        <v>10.433522399999999</v>
      </c>
      <c r="P52" s="3">
        <f t="shared" si="9"/>
        <v>2443.8326695999995</v>
      </c>
      <c r="Q52" s="3"/>
    </row>
    <row r="53" spans="1:19" x14ac:dyDescent="0.2">
      <c r="A53">
        <v>8000</v>
      </c>
      <c r="B53">
        <v>0</v>
      </c>
      <c r="C53">
        <v>2126.5398</v>
      </c>
      <c r="D53">
        <v>0</v>
      </c>
      <c r="E53">
        <v>1149.49296</v>
      </c>
      <c r="F53">
        <v>0</v>
      </c>
      <c r="G53">
        <v>461.52483999999993</v>
      </c>
      <c r="H53">
        <v>1</v>
      </c>
      <c r="I53">
        <v>191.33912000000001</v>
      </c>
      <c r="J53">
        <v>1</v>
      </c>
      <c r="K53">
        <v>80.425533999999999</v>
      </c>
      <c r="L53">
        <v>1</v>
      </c>
      <c r="M53">
        <v>29.426445999999995</v>
      </c>
      <c r="N53">
        <v>2</v>
      </c>
      <c r="O53">
        <v>10.433522399999999</v>
      </c>
      <c r="P53" s="3">
        <f t="shared" si="9"/>
        <v>322.05814479999998</v>
      </c>
      <c r="Q53" s="3"/>
    </row>
    <row r="54" spans="1:19" x14ac:dyDescent="0.2">
      <c r="A54">
        <v>10000</v>
      </c>
      <c r="B54">
        <v>4</v>
      </c>
      <c r="C54">
        <v>2126.5398</v>
      </c>
      <c r="D54">
        <v>9</v>
      </c>
      <c r="E54">
        <v>1149.49296</v>
      </c>
      <c r="F54">
        <v>33</v>
      </c>
      <c r="G54">
        <v>461.52483999999993</v>
      </c>
      <c r="H54">
        <v>72</v>
      </c>
      <c r="I54">
        <v>191.33912000000001</v>
      </c>
      <c r="J54">
        <v>203</v>
      </c>
      <c r="K54">
        <v>80.425533999999999</v>
      </c>
      <c r="L54">
        <v>359</v>
      </c>
      <c r="M54">
        <v>29.426445999999995</v>
      </c>
      <c r="N54">
        <v>386</v>
      </c>
      <c r="O54">
        <v>10.433522399999999</v>
      </c>
      <c r="P54" s="3">
        <f t="shared" si="9"/>
        <v>78776.1493624</v>
      </c>
      <c r="Q54" s="3">
        <f t="shared" ref="Q54:Q62" si="10">Q55+P54</f>
        <v>280085.72801720002</v>
      </c>
      <c r="R54">
        <v>3575021</v>
      </c>
      <c r="S54">
        <f>Q54/R54*100</f>
        <v>7.8345197977074825</v>
      </c>
    </row>
    <row r="55" spans="1:19" x14ac:dyDescent="0.2">
      <c r="A55">
        <v>20000</v>
      </c>
      <c r="B55">
        <v>2</v>
      </c>
      <c r="C55">
        <v>2126.5398</v>
      </c>
      <c r="D55">
        <v>8</v>
      </c>
      <c r="E55">
        <v>1149.49296</v>
      </c>
      <c r="F55">
        <v>30</v>
      </c>
      <c r="G55">
        <v>461.52483999999993</v>
      </c>
      <c r="H55">
        <v>103</v>
      </c>
      <c r="I55">
        <v>191.33912000000001</v>
      </c>
      <c r="J55">
        <v>171</v>
      </c>
      <c r="K55">
        <v>80.425533999999999</v>
      </c>
      <c r="L55">
        <v>404</v>
      </c>
      <c r="M55">
        <v>29.426445999999995</v>
      </c>
      <c r="N55">
        <v>414</v>
      </c>
      <c r="O55">
        <v>10.433522399999999</v>
      </c>
      <c r="P55" s="3">
        <f t="shared" si="9"/>
        <v>76963.22661160001</v>
      </c>
      <c r="Q55" s="3">
        <f t="shared" si="10"/>
        <v>201309.57865480002</v>
      </c>
      <c r="R55">
        <v>3575021</v>
      </c>
      <c r="S55">
        <f>Q55/R55*100</f>
        <v>5.6310040879424212</v>
      </c>
    </row>
    <row r="56" spans="1:19" x14ac:dyDescent="0.2">
      <c r="A56">
        <v>30000</v>
      </c>
      <c r="B56">
        <v>1</v>
      </c>
      <c r="C56">
        <v>2126.5398</v>
      </c>
      <c r="D56">
        <v>4</v>
      </c>
      <c r="E56">
        <v>1149.49296</v>
      </c>
      <c r="F56">
        <v>17</v>
      </c>
      <c r="G56">
        <v>461.52483999999993</v>
      </c>
      <c r="H56">
        <v>53</v>
      </c>
      <c r="I56">
        <v>191.33912000000001</v>
      </c>
      <c r="J56">
        <v>109</v>
      </c>
      <c r="K56">
        <v>80.425533999999999</v>
      </c>
      <c r="L56">
        <v>211</v>
      </c>
      <c r="M56">
        <v>29.426445999999995</v>
      </c>
      <c r="N56">
        <v>222</v>
      </c>
      <c r="O56">
        <v>10.433522399999999</v>
      </c>
      <c r="P56" s="3">
        <f t="shared" si="9"/>
        <v>42003.012564800003</v>
      </c>
      <c r="Q56" s="3">
        <f t="shared" si="10"/>
        <v>124346.35204319999</v>
      </c>
      <c r="R56">
        <v>3575021</v>
      </c>
      <c r="S56">
        <f>Q56/R56*100</f>
        <v>3.478199206192075</v>
      </c>
    </row>
    <row r="57" spans="1:19" x14ac:dyDescent="0.2">
      <c r="A57">
        <v>40000</v>
      </c>
      <c r="B57">
        <v>0</v>
      </c>
      <c r="C57">
        <v>2126.5398</v>
      </c>
      <c r="D57">
        <v>0</v>
      </c>
      <c r="E57">
        <v>1149.49296</v>
      </c>
      <c r="F57">
        <v>8</v>
      </c>
      <c r="G57">
        <v>461.52483999999993</v>
      </c>
      <c r="H57">
        <v>35</v>
      </c>
      <c r="I57">
        <v>191.33912000000001</v>
      </c>
      <c r="J57">
        <v>61</v>
      </c>
      <c r="K57">
        <v>80.425533999999999</v>
      </c>
      <c r="L57">
        <v>131</v>
      </c>
      <c r="M57">
        <v>29.426445999999995</v>
      </c>
      <c r="N57">
        <v>136</v>
      </c>
      <c r="O57">
        <v>10.433522399999999</v>
      </c>
      <c r="P57" s="3">
        <f t="shared" si="9"/>
        <v>20568.848966399997</v>
      </c>
      <c r="Q57" s="3">
        <f t="shared" si="10"/>
        <v>82343.339478399997</v>
      </c>
      <c r="R57">
        <v>3575021</v>
      </c>
      <c r="S57">
        <f t="shared" ref="S57:S63" si="11">Q57/R57*100</f>
        <v>2.3032966653454623</v>
      </c>
    </row>
    <row r="58" spans="1:19" x14ac:dyDescent="0.2">
      <c r="A58">
        <v>50000</v>
      </c>
      <c r="B58">
        <v>0</v>
      </c>
      <c r="C58">
        <v>2126.5398</v>
      </c>
      <c r="D58">
        <v>2</v>
      </c>
      <c r="E58">
        <v>1149.49296</v>
      </c>
      <c r="F58">
        <v>7</v>
      </c>
      <c r="G58">
        <v>461.52483999999993</v>
      </c>
      <c r="H58">
        <v>14</v>
      </c>
      <c r="I58">
        <v>191.33912000000001</v>
      </c>
      <c r="J58">
        <v>54</v>
      </c>
      <c r="K58">
        <v>80.425533999999999</v>
      </c>
      <c r="L58">
        <v>75</v>
      </c>
      <c r="M58">
        <v>29.426445999999995</v>
      </c>
      <c r="N58">
        <v>86</v>
      </c>
      <c r="O58">
        <v>10.433522399999999</v>
      </c>
      <c r="P58" s="3">
        <f t="shared" si="9"/>
        <v>15655.652692399999</v>
      </c>
      <c r="Q58" s="3">
        <f t="shared" si="10"/>
        <v>61774.490511999997</v>
      </c>
      <c r="R58">
        <v>3575021</v>
      </c>
      <c r="S58">
        <f t="shared" si="11"/>
        <v>1.727947626377579</v>
      </c>
    </row>
    <row r="59" spans="1:19" x14ac:dyDescent="0.2">
      <c r="A59">
        <v>60000</v>
      </c>
      <c r="B59">
        <v>0</v>
      </c>
      <c r="C59">
        <v>2126.5398</v>
      </c>
      <c r="D59">
        <v>0</v>
      </c>
      <c r="E59">
        <v>1149.49296</v>
      </c>
      <c r="F59">
        <v>9</v>
      </c>
      <c r="G59">
        <v>461.52483999999993</v>
      </c>
      <c r="H59">
        <v>12</v>
      </c>
      <c r="I59">
        <v>191.33912000000001</v>
      </c>
      <c r="J59">
        <v>51</v>
      </c>
      <c r="K59">
        <v>80.425533999999999</v>
      </c>
      <c r="L59">
        <v>106</v>
      </c>
      <c r="M59">
        <v>29.426445999999995</v>
      </c>
      <c r="N59">
        <v>97</v>
      </c>
      <c r="O59">
        <v>10.433522399999999</v>
      </c>
      <c r="P59" s="3">
        <f t="shared" si="9"/>
        <v>14682.750182799999</v>
      </c>
      <c r="Q59" s="3">
        <f t="shared" si="10"/>
        <v>46118.837819599998</v>
      </c>
      <c r="R59">
        <v>3575021</v>
      </c>
      <c r="S59">
        <f t="shared" si="11"/>
        <v>1.2900298437295892</v>
      </c>
    </row>
    <row r="60" spans="1:19" x14ac:dyDescent="0.2">
      <c r="A60">
        <v>80000</v>
      </c>
      <c r="B60">
        <v>0</v>
      </c>
      <c r="C60">
        <v>2126.5398</v>
      </c>
      <c r="D60">
        <v>2</v>
      </c>
      <c r="E60">
        <v>1149.49296</v>
      </c>
      <c r="F60">
        <v>2</v>
      </c>
      <c r="G60">
        <v>461.52483999999993</v>
      </c>
      <c r="H60">
        <v>10</v>
      </c>
      <c r="I60">
        <v>191.33912000000001</v>
      </c>
      <c r="J60">
        <v>26</v>
      </c>
      <c r="K60">
        <v>80.425533999999999</v>
      </c>
      <c r="L60">
        <v>36</v>
      </c>
      <c r="M60">
        <v>29.426445999999995</v>
      </c>
      <c r="N60">
        <v>54</v>
      </c>
      <c r="O60">
        <v>10.433522399999999</v>
      </c>
      <c r="P60" s="3">
        <f t="shared" si="9"/>
        <v>8849.2529496000006</v>
      </c>
      <c r="Q60" s="3">
        <f t="shared" si="10"/>
        <v>31436.087636799995</v>
      </c>
      <c r="R60">
        <v>3575021</v>
      </c>
      <c r="S60">
        <f t="shared" si="11"/>
        <v>0.87932595743633379</v>
      </c>
    </row>
    <row r="61" spans="1:19" x14ac:dyDescent="0.2">
      <c r="A61">
        <v>100000</v>
      </c>
      <c r="B61">
        <v>0</v>
      </c>
      <c r="C61">
        <v>2126.5398</v>
      </c>
      <c r="D61">
        <v>1</v>
      </c>
      <c r="E61">
        <v>1149.49296</v>
      </c>
      <c r="F61">
        <v>5</v>
      </c>
      <c r="G61">
        <v>461.52483999999993</v>
      </c>
      <c r="H61">
        <v>5</v>
      </c>
      <c r="I61">
        <v>191.33912000000001</v>
      </c>
      <c r="J61">
        <v>15</v>
      </c>
      <c r="K61">
        <v>80.425533999999999</v>
      </c>
      <c r="L61">
        <v>24</v>
      </c>
      <c r="M61">
        <v>29.426445999999995</v>
      </c>
      <c r="N61">
        <v>34</v>
      </c>
      <c r="O61">
        <v>10.433522399999999</v>
      </c>
      <c r="P61" s="3">
        <f t="shared" si="9"/>
        <v>6681.1702355999996</v>
      </c>
      <c r="Q61" s="3">
        <f t="shared" si="10"/>
        <v>22586.834687199997</v>
      </c>
      <c r="R61">
        <v>3575021</v>
      </c>
      <c r="S61">
        <f t="shared" si="11"/>
        <v>0.63179586042151914</v>
      </c>
    </row>
    <row r="62" spans="1:19" x14ac:dyDescent="0.2">
      <c r="A62">
        <v>120000</v>
      </c>
      <c r="B62">
        <v>0</v>
      </c>
      <c r="C62">
        <v>2126.5398</v>
      </c>
      <c r="D62">
        <v>0</v>
      </c>
      <c r="E62">
        <v>1149.49296</v>
      </c>
      <c r="F62">
        <v>2</v>
      </c>
      <c r="G62">
        <v>461.52483999999993</v>
      </c>
      <c r="H62">
        <v>3</v>
      </c>
      <c r="I62">
        <v>191.33912000000001</v>
      </c>
      <c r="J62">
        <v>9</v>
      </c>
      <c r="K62">
        <v>80.425533999999999</v>
      </c>
      <c r="L62">
        <v>18</v>
      </c>
      <c r="M62">
        <v>29.426445999999995</v>
      </c>
      <c r="N62">
        <v>25</v>
      </c>
      <c r="O62">
        <v>10.433522399999999</v>
      </c>
      <c r="P62" s="3">
        <f t="shared" si="9"/>
        <v>3011.4109339999995</v>
      </c>
      <c r="Q62" s="3">
        <f t="shared" si="10"/>
        <v>15905.664451599998</v>
      </c>
      <c r="R62">
        <v>3575021</v>
      </c>
      <c r="S62">
        <f t="shared" si="11"/>
        <v>0.44491107749017411</v>
      </c>
    </row>
    <row r="63" spans="1:19" x14ac:dyDescent="0.2">
      <c r="A63">
        <v>140000</v>
      </c>
      <c r="B63">
        <v>0</v>
      </c>
      <c r="C63">
        <v>2126.5398</v>
      </c>
      <c r="D63">
        <v>0</v>
      </c>
      <c r="E63">
        <v>1149.49296</v>
      </c>
      <c r="F63">
        <v>3</v>
      </c>
      <c r="G63">
        <v>461.52483999999993</v>
      </c>
      <c r="H63">
        <v>4</v>
      </c>
      <c r="I63">
        <v>191.33912000000001</v>
      </c>
      <c r="J63">
        <v>17</v>
      </c>
      <c r="K63">
        <v>80.425533999999999</v>
      </c>
      <c r="L63">
        <v>28</v>
      </c>
      <c r="M63">
        <v>29.426445999999995</v>
      </c>
      <c r="N63">
        <v>34</v>
      </c>
      <c r="O63">
        <v>10.433522399999999</v>
      </c>
      <c r="P63" s="3">
        <f t="shared" si="9"/>
        <v>4695.8453275999991</v>
      </c>
      <c r="Q63" s="3">
        <f>P64+P63</f>
        <v>12894.253517599998</v>
      </c>
      <c r="R63">
        <v>3575021</v>
      </c>
      <c r="S63">
        <f t="shared" si="11"/>
        <v>0.36067630141473289</v>
      </c>
    </row>
    <row r="64" spans="1:19" x14ac:dyDescent="0.2">
      <c r="A64" t="s">
        <v>10</v>
      </c>
      <c r="B64">
        <v>1</v>
      </c>
      <c r="C64">
        <v>2126.5398</v>
      </c>
      <c r="D64">
        <v>1</v>
      </c>
      <c r="E64">
        <v>1149.49296</v>
      </c>
      <c r="F64">
        <v>3</v>
      </c>
      <c r="G64">
        <v>461.52483999999993</v>
      </c>
      <c r="H64">
        <v>8</v>
      </c>
      <c r="I64">
        <v>191.33912000000001</v>
      </c>
      <c r="J64">
        <v>12</v>
      </c>
      <c r="K64">
        <v>80.425533999999999</v>
      </c>
      <c r="L64">
        <v>23</v>
      </c>
      <c r="M64">
        <v>29.426445999999995</v>
      </c>
      <c r="N64">
        <v>35</v>
      </c>
      <c r="O64">
        <v>10.433522399999999</v>
      </c>
      <c r="P64" s="3">
        <f t="shared" si="9"/>
        <v>8198.4081900000001</v>
      </c>
      <c r="Q64" s="3">
        <f>P64</f>
        <v>8198.4081900000001</v>
      </c>
      <c r="R64">
        <v>3575021</v>
      </c>
      <c r="S64">
        <f>Q64/R64*100</f>
        <v>0.22932475613429965</v>
      </c>
    </row>
    <row r="65" spans="1:19" x14ac:dyDescent="0.2">
      <c r="A65" t="s">
        <v>3</v>
      </c>
      <c r="B65">
        <v>8</v>
      </c>
      <c r="C65">
        <v>2126.5398</v>
      </c>
      <c r="D65">
        <v>28</v>
      </c>
      <c r="E65">
        <v>1149.49296</v>
      </c>
      <c r="F65">
        <v>121</v>
      </c>
      <c r="G65">
        <v>461.52483999999993</v>
      </c>
      <c r="H65">
        <v>321</v>
      </c>
      <c r="I65">
        <v>191.33912000000001</v>
      </c>
      <c r="J65">
        <v>734</v>
      </c>
      <c r="K65">
        <v>80.425533999999999</v>
      </c>
      <c r="L65">
        <v>1419</v>
      </c>
      <c r="M65">
        <v>29.426445999999995</v>
      </c>
      <c r="N65">
        <v>1530</v>
      </c>
      <c r="O65">
        <v>10.433522399999999</v>
      </c>
      <c r="P65" s="3">
        <f t="shared" si="9"/>
        <v>283214.24254200002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10</v>
      </c>
      <c r="B73" s="14">
        <v>5.0000000000000001E-4</v>
      </c>
      <c r="C73" s="4" t="s">
        <v>69</v>
      </c>
      <c r="D73" s="5"/>
      <c r="E73" s="5"/>
      <c r="F73" s="5"/>
      <c r="G73" s="5"/>
      <c r="H73" s="5"/>
      <c r="I73" s="5"/>
      <c r="J73" s="5"/>
      <c r="K73" s="4">
        <v>1.2696202629526114</v>
      </c>
      <c r="L73" s="4">
        <v>1667.3365663174359</v>
      </c>
      <c r="M73" s="7">
        <f t="shared" ref="M73:M78" si="12">POWER(B73,1/K73)</f>
        <v>2.5118075669380824E-3</v>
      </c>
      <c r="N73" s="8">
        <f t="shared" ref="N73:N78" si="13">L73/M73</f>
        <v>663799.48379164061</v>
      </c>
      <c r="O73">
        <f t="shared" ref="O73:O78" si="14">R54</f>
        <v>3575021</v>
      </c>
      <c r="P73" s="8">
        <f>O73*(K73/(1-K73))*POWER(L73,K73)*(-1)*POWER(N73,1-K73)</f>
        <v>5587362247.8126068</v>
      </c>
      <c r="Q73" s="9">
        <f t="shared" ref="Q73:Q78" si="15">B73*O73</f>
        <v>1787.5105000000001</v>
      </c>
      <c r="R73" s="4">
        <f t="shared" ref="R73:R78" si="16">P73/Q73</f>
        <v>3125778.7004958051</v>
      </c>
      <c r="S73" s="3">
        <f t="shared" ref="S73:S78" si="17">9.2099*P73*1.23</f>
        <v>63294628506.339073</v>
      </c>
    </row>
    <row r="74" spans="1:19" x14ac:dyDescent="0.2">
      <c r="A74" t="s">
        <v>10</v>
      </c>
      <c r="B74" s="14">
        <v>1E-3</v>
      </c>
      <c r="C74" s="4" t="s">
        <v>69</v>
      </c>
      <c r="D74" s="5"/>
      <c r="E74" s="5"/>
      <c r="F74" s="5"/>
      <c r="G74" s="5"/>
      <c r="H74" s="5"/>
      <c r="I74" s="5"/>
      <c r="J74" s="5"/>
      <c r="K74" s="4">
        <v>1.2696202629526114</v>
      </c>
      <c r="L74" s="4">
        <v>1667.3365663174359</v>
      </c>
      <c r="M74" s="7">
        <f t="shared" si="12"/>
        <v>4.3359947931925283E-3</v>
      </c>
      <c r="N74" s="8">
        <f t="shared" si="13"/>
        <v>384533.80270085629</v>
      </c>
      <c r="O74">
        <f t="shared" si="14"/>
        <v>3575021</v>
      </c>
      <c r="P74" s="8">
        <f>O74*(K74/(1-K74))*POWER(L74,K74)*(POWER(N73,1-K74)-POWER(N74,1-K74))+P73</f>
        <v>6473429716.8962145</v>
      </c>
      <c r="Q74" s="9">
        <f t="shared" si="15"/>
        <v>3575.0210000000002</v>
      </c>
      <c r="R74" s="4">
        <f t="shared" si="16"/>
        <v>1810738.9346513529</v>
      </c>
      <c r="S74" s="3">
        <f t="shared" si="17"/>
        <v>73332157630.060196</v>
      </c>
    </row>
    <row r="75" spans="1:19" x14ac:dyDescent="0.2">
      <c r="A75" t="s">
        <v>70</v>
      </c>
      <c r="B75" s="14">
        <v>2.5000000000000001E-3</v>
      </c>
      <c r="C75" s="5">
        <f>S64/100</f>
        <v>2.2932475613429964E-3</v>
      </c>
      <c r="D75" s="5">
        <f>S63/100</f>
        <v>3.606763014147329E-3</v>
      </c>
      <c r="E75" s="5">
        <v>200000</v>
      </c>
      <c r="F75" s="5">
        <v>140000</v>
      </c>
      <c r="G75" s="5">
        <f>D75/C75</f>
        <v>1.5727752532897483</v>
      </c>
      <c r="H75" s="5">
        <f>LN(G75)</f>
        <v>0.45284173611210138</v>
      </c>
      <c r="I75" s="5">
        <f>E75/F75</f>
        <v>1.4285714285714286</v>
      </c>
      <c r="J75" s="5">
        <f>LN(I75)</f>
        <v>0.35667494393873239</v>
      </c>
      <c r="K75" s="4">
        <f>H75/J75</f>
        <v>1.2696202629526114</v>
      </c>
      <c r="L75" s="4">
        <f>F75*(D75^(1/K75))</f>
        <v>1667.3365663174359</v>
      </c>
      <c r="M75" s="7">
        <f t="shared" si="12"/>
        <v>8.9232088837163884E-3</v>
      </c>
      <c r="N75" s="8">
        <f t="shared" si="13"/>
        <v>186853.92083111408</v>
      </c>
      <c r="O75">
        <f t="shared" si="14"/>
        <v>3575021</v>
      </c>
      <c r="P75" s="8">
        <f>O75*(K75/(1-K75))*POWER(L75,K75)*(POWER(N74,1-K75)-POWER(N75,1-K75))+P74</f>
        <v>7863975256.0823002</v>
      </c>
      <c r="Q75" s="9">
        <f t="shared" si="15"/>
        <v>8937.5524999999998</v>
      </c>
      <c r="R75" s="4">
        <f t="shared" si="16"/>
        <v>879880.17481097882</v>
      </c>
      <c r="S75" s="3">
        <f t="shared" si="17"/>
        <v>89084503624.520615</v>
      </c>
    </row>
    <row r="76" spans="1:19" x14ac:dyDescent="0.2">
      <c r="A76" t="s">
        <v>71</v>
      </c>
      <c r="B76" s="14">
        <v>5.0000000000000001E-3</v>
      </c>
      <c r="C76" s="5">
        <f>S62/100</f>
        <v>4.4491107749017409E-3</v>
      </c>
      <c r="D76" s="5">
        <f>S61/100</f>
        <v>6.3179586042151912E-3</v>
      </c>
      <c r="E76" s="5">
        <v>120000</v>
      </c>
      <c r="F76" s="5">
        <v>100000</v>
      </c>
      <c r="G76" s="5">
        <f>D76/C76</f>
        <v>1.4200497411428745</v>
      </c>
      <c r="H76" s="5">
        <f>LN(G76)</f>
        <v>0.35069189997352446</v>
      </c>
      <c r="I76" s="5">
        <f>E76/F76</f>
        <v>1.2</v>
      </c>
      <c r="J76" s="5">
        <f>LN(I76)</f>
        <v>0.18232155679395459</v>
      </c>
      <c r="K76" s="4">
        <f>H76/J76</f>
        <v>1.9234801750286101</v>
      </c>
      <c r="L76" s="4">
        <f>F76*(D76^(1/K76))</f>
        <v>7186.8684729347797</v>
      </c>
      <c r="M76" s="7">
        <f t="shared" si="12"/>
        <v>6.3637813924189393E-2</v>
      </c>
      <c r="N76" s="8">
        <f t="shared" si="13"/>
        <v>112933.93078361191</v>
      </c>
      <c r="O76">
        <f t="shared" si="14"/>
        <v>3575021</v>
      </c>
      <c r="P76" s="8">
        <f>O76*(K76/(1-K76))*POWER(L76,K76)*(POWER(N75,1-K76)-POWER(N76,1-K76))+P75</f>
        <v>9427534707.9557781</v>
      </c>
      <c r="Q76" s="9">
        <f t="shared" si="15"/>
        <v>17875.105</v>
      </c>
      <c r="R76" s="4">
        <f t="shared" si="16"/>
        <v>527411.43103527382</v>
      </c>
      <c r="S76" s="3">
        <f t="shared" si="17"/>
        <v>106796781845.36635</v>
      </c>
    </row>
    <row r="77" spans="1:19" x14ac:dyDescent="0.2">
      <c r="A77" t="s">
        <v>72</v>
      </c>
      <c r="B77" s="14">
        <v>0.01</v>
      </c>
      <c r="C77" s="5">
        <f>S60/100</f>
        <v>8.7932595743633376E-3</v>
      </c>
      <c r="D77" s="5">
        <f>S59/100</f>
        <v>1.2900298437295891E-2</v>
      </c>
      <c r="E77" s="5">
        <v>80000</v>
      </c>
      <c r="F77" s="5">
        <v>60000</v>
      </c>
      <c r="G77" s="5">
        <f>D77/C77</f>
        <v>1.4670667149308985</v>
      </c>
      <c r="H77" s="5">
        <f>LN(G77)</f>
        <v>0.3832649752439688</v>
      </c>
      <c r="I77" s="5">
        <f>E77/F77</f>
        <v>1.3333333333333333</v>
      </c>
      <c r="J77" s="5">
        <f>LN(I77)</f>
        <v>0.28768207245178085</v>
      </c>
      <c r="K77" s="4">
        <f>H77/J77</f>
        <v>1.3322518569807955</v>
      </c>
      <c r="L77" s="4">
        <f>F77*(D77^(1/K77))</f>
        <v>2290.6079080925624</v>
      </c>
      <c r="M77" s="7">
        <f t="shared" si="12"/>
        <v>3.15342387542355E-2</v>
      </c>
      <c r="N77" s="8">
        <f t="shared" si="13"/>
        <v>72638.757064807884</v>
      </c>
      <c r="O77">
        <f t="shared" si="14"/>
        <v>3575021</v>
      </c>
      <c r="P77" s="8">
        <f>O77*(K77/(1-K77))*POWER(L77,K77)*(POWER(N76,1-K77)-POWER(N77,1-K77))+P76</f>
        <v>10847642986.642195</v>
      </c>
      <c r="Q77" s="9">
        <f t="shared" si="15"/>
        <v>35750.21</v>
      </c>
      <c r="R77" s="4">
        <f t="shared" si="16"/>
        <v>303428.79067401827</v>
      </c>
      <c r="S77" s="3">
        <f t="shared" si="17"/>
        <v>122884019785.49141</v>
      </c>
    </row>
    <row r="78" spans="1:19" x14ac:dyDescent="0.2">
      <c r="A78" t="s">
        <v>65</v>
      </c>
      <c r="B78" s="14">
        <v>0.02</v>
      </c>
      <c r="C78" s="5">
        <f>S58/100</f>
        <v>1.7279476263775791E-2</v>
      </c>
      <c r="D78" s="5">
        <f>S57/100</f>
        <v>2.3032966653454622E-2</v>
      </c>
      <c r="E78" s="5">
        <v>50000</v>
      </c>
      <c r="F78" s="5">
        <v>40000</v>
      </c>
      <c r="G78" s="5">
        <f>D78/C78</f>
        <v>1.332966711597636</v>
      </c>
      <c r="H78" s="5">
        <f>LN(G78)</f>
        <v>0.2874070683398432</v>
      </c>
      <c r="I78" s="5">
        <f>E78/F78</f>
        <v>1.25</v>
      </c>
      <c r="J78" s="5">
        <f>LN(I78)</f>
        <v>0.22314355131420976</v>
      </c>
      <c r="K78" s="4">
        <f>H78/J78</f>
        <v>1.2879918180344079</v>
      </c>
      <c r="L78" s="4">
        <f>F78*(D78^(1/K78))</f>
        <v>2140.8410762217404</v>
      </c>
      <c r="M78" s="7">
        <f t="shared" si="12"/>
        <v>4.796401501347744E-2</v>
      </c>
      <c r="N78" s="8">
        <f t="shared" si="13"/>
        <v>44634.317532011948</v>
      </c>
      <c r="O78">
        <f t="shared" si="14"/>
        <v>3575021</v>
      </c>
      <c r="P78" s="8">
        <f>O78*(K78/(1-K78))*POWER(L78,K78)*(POWER(N77,1-K78)-POWER(N78,1-K78))+P77</f>
        <v>12715383178.712143</v>
      </c>
      <c r="Q78" s="9">
        <f t="shared" si="15"/>
        <v>71500.42</v>
      </c>
      <c r="R78" s="4">
        <f t="shared" si="16"/>
        <v>177836.48234111271</v>
      </c>
      <c r="S78" s="3">
        <f t="shared" si="17"/>
        <v>144042111271.27377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18">S32+S73</f>
        <v>77693378662.14296</v>
      </c>
      <c r="C85">
        <f t="shared" ref="C85:C90" si="19">971600000000*1.23</f>
        <v>1195068000000</v>
      </c>
      <c r="F85" s="10">
        <f t="shared" ref="F85:F90" si="20">B85/C85*100</f>
        <v>6.5011680224173825</v>
      </c>
    </row>
    <row r="86" spans="1:7" ht="15" x14ac:dyDescent="0.25">
      <c r="A86" s="18">
        <v>1E-3</v>
      </c>
      <c r="B86" s="3">
        <f t="shared" si="18"/>
        <v>94749872215.163025</v>
      </c>
      <c r="C86">
        <f t="shared" si="19"/>
        <v>1195068000000</v>
      </c>
      <c r="F86" s="10">
        <f t="shared" si="20"/>
        <v>7.9284084432988777</v>
      </c>
    </row>
    <row r="87" spans="1:7" ht="15" x14ac:dyDescent="0.25">
      <c r="A87" s="18">
        <v>2.5000000000000001E-3</v>
      </c>
      <c r="B87" s="3">
        <f t="shared" si="18"/>
        <v>125286908431.48764</v>
      </c>
      <c r="C87">
        <f t="shared" si="19"/>
        <v>1195068000000</v>
      </c>
      <c r="F87" s="10">
        <f t="shared" si="20"/>
        <v>10.483663559854973</v>
      </c>
    </row>
    <row r="88" spans="1:7" ht="15" x14ac:dyDescent="0.25">
      <c r="A88" s="18">
        <v>5.0000000000000001E-3</v>
      </c>
      <c r="B88" s="3">
        <f t="shared" si="18"/>
        <v>160646787231.94049</v>
      </c>
      <c r="C88">
        <f t="shared" si="19"/>
        <v>1195068000000</v>
      </c>
      <c r="F88" s="10">
        <f t="shared" si="20"/>
        <v>13.442480865686345</v>
      </c>
    </row>
    <row r="89" spans="1:7" ht="15" x14ac:dyDescent="0.25">
      <c r="A89" s="19">
        <v>0.01</v>
      </c>
      <c r="B89" s="3">
        <f t="shared" si="18"/>
        <v>199964215723.5</v>
      </c>
      <c r="C89">
        <f t="shared" si="19"/>
        <v>1195068000000</v>
      </c>
      <c r="F89" s="10">
        <f t="shared" si="20"/>
        <v>16.732455033813977</v>
      </c>
    </row>
    <row r="90" spans="1:7" ht="15" x14ac:dyDescent="0.25">
      <c r="A90" s="19">
        <v>0.02</v>
      </c>
      <c r="B90" s="3">
        <f t="shared" si="18"/>
        <v>255181688978.30835</v>
      </c>
      <c r="C90">
        <f t="shared" si="19"/>
        <v>1195068000000</v>
      </c>
      <c r="F90" s="10">
        <f t="shared" si="20"/>
        <v>21.352901172009318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81" workbookViewId="0">
      <selection activeCell="F85" sqref="F85:F90"/>
    </sheetView>
  </sheetViews>
  <sheetFormatPr defaultRowHeight="12.75" x14ac:dyDescent="0.2"/>
  <cols>
    <col min="1" max="1" width="15" customWidth="1"/>
    <col min="2" max="2" width="25" customWidth="1"/>
    <col min="3" max="3" width="12.7109375" customWidth="1"/>
    <col min="5" max="5" width="15" customWidth="1"/>
    <col min="7" max="7" width="15.140625" customWidth="1"/>
    <col min="9" max="9" width="14.7109375" customWidth="1"/>
    <col min="11" max="11" width="15.7109375" customWidth="1"/>
    <col min="13" max="13" width="13.42578125" customWidth="1"/>
    <col min="14" max="14" width="11.85546875" customWidth="1"/>
    <col min="15" max="15" width="12.42578125" customWidth="1"/>
    <col min="16" max="16" width="14.140625" customWidth="1"/>
    <col min="17" max="17" width="24" customWidth="1"/>
    <col min="18" max="18" width="13.28515625" customWidth="1"/>
    <col min="19" max="19" width="13.140625" bestFit="1" customWidth="1"/>
    <col min="257" max="257" width="15" customWidth="1"/>
    <col min="258" max="258" width="25" customWidth="1"/>
    <col min="259" max="259" width="12.7109375" customWidth="1"/>
    <col min="261" max="261" width="15" customWidth="1"/>
    <col min="263" max="263" width="15.140625" customWidth="1"/>
    <col min="265" max="265" width="14.7109375" customWidth="1"/>
    <col min="267" max="267" width="15.7109375" customWidth="1"/>
    <col min="269" max="269" width="13.42578125" customWidth="1"/>
    <col min="270" max="270" width="11.85546875" customWidth="1"/>
    <col min="271" max="271" width="12.42578125" customWidth="1"/>
    <col min="272" max="272" width="14.140625" customWidth="1"/>
    <col min="273" max="273" width="24" customWidth="1"/>
    <col min="274" max="274" width="13.28515625" customWidth="1"/>
    <col min="275" max="275" width="12" bestFit="1" customWidth="1"/>
    <col min="513" max="513" width="15" customWidth="1"/>
    <col min="514" max="514" width="25" customWidth="1"/>
    <col min="515" max="515" width="12.7109375" customWidth="1"/>
    <col min="517" max="517" width="15" customWidth="1"/>
    <col min="519" max="519" width="15.140625" customWidth="1"/>
    <col min="521" max="521" width="14.7109375" customWidth="1"/>
    <col min="523" max="523" width="15.7109375" customWidth="1"/>
    <col min="525" max="525" width="13.42578125" customWidth="1"/>
    <col min="526" max="526" width="11.85546875" customWidth="1"/>
    <col min="527" max="527" width="12.42578125" customWidth="1"/>
    <col min="528" max="528" width="14.140625" customWidth="1"/>
    <col min="529" max="529" width="24" customWidth="1"/>
    <col min="530" max="530" width="13.28515625" customWidth="1"/>
    <col min="531" max="531" width="12" bestFit="1" customWidth="1"/>
    <col min="769" max="769" width="15" customWidth="1"/>
    <col min="770" max="770" width="25" customWidth="1"/>
    <col min="771" max="771" width="12.7109375" customWidth="1"/>
    <col min="773" max="773" width="15" customWidth="1"/>
    <col min="775" max="775" width="15.140625" customWidth="1"/>
    <col min="777" max="777" width="14.7109375" customWidth="1"/>
    <col min="779" max="779" width="15.7109375" customWidth="1"/>
    <col min="781" max="781" width="13.42578125" customWidth="1"/>
    <col min="782" max="782" width="11.85546875" customWidth="1"/>
    <col min="783" max="783" width="12.42578125" customWidth="1"/>
    <col min="784" max="784" width="14.140625" customWidth="1"/>
    <col min="785" max="785" width="24" customWidth="1"/>
    <col min="786" max="786" width="13.28515625" customWidth="1"/>
    <col min="787" max="787" width="12" bestFit="1" customWidth="1"/>
    <col min="1025" max="1025" width="15" customWidth="1"/>
    <col min="1026" max="1026" width="25" customWidth="1"/>
    <col min="1027" max="1027" width="12.7109375" customWidth="1"/>
    <col min="1029" max="1029" width="15" customWidth="1"/>
    <col min="1031" max="1031" width="15.140625" customWidth="1"/>
    <col min="1033" max="1033" width="14.7109375" customWidth="1"/>
    <col min="1035" max="1035" width="15.7109375" customWidth="1"/>
    <col min="1037" max="1037" width="13.42578125" customWidth="1"/>
    <col min="1038" max="1038" width="11.85546875" customWidth="1"/>
    <col min="1039" max="1039" width="12.42578125" customWidth="1"/>
    <col min="1040" max="1040" width="14.140625" customWidth="1"/>
    <col min="1041" max="1041" width="24" customWidth="1"/>
    <col min="1042" max="1042" width="13.28515625" customWidth="1"/>
    <col min="1043" max="1043" width="12" bestFit="1" customWidth="1"/>
    <col min="1281" max="1281" width="15" customWidth="1"/>
    <col min="1282" max="1282" width="25" customWidth="1"/>
    <col min="1283" max="1283" width="12.7109375" customWidth="1"/>
    <col min="1285" max="1285" width="15" customWidth="1"/>
    <col min="1287" max="1287" width="15.140625" customWidth="1"/>
    <col min="1289" max="1289" width="14.7109375" customWidth="1"/>
    <col min="1291" max="1291" width="15.7109375" customWidth="1"/>
    <col min="1293" max="1293" width="13.42578125" customWidth="1"/>
    <col min="1294" max="1294" width="11.85546875" customWidth="1"/>
    <col min="1295" max="1295" width="12.42578125" customWidth="1"/>
    <col min="1296" max="1296" width="14.140625" customWidth="1"/>
    <col min="1297" max="1297" width="24" customWidth="1"/>
    <col min="1298" max="1298" width="13.28515625" customWidth="1"/>
    <col min="1299" max="1299" width="12" bestFit="1" customWidth="1"/>
    <col min="1537" max="1537" width="15" customWidth="1"/>
    <col min="1538" max="1538" width="25" customWidth="1"/>
    <col min="1539" max="1539" width="12.7109375" customWidth="1"/>
    <col min="1541" max="1541" width="15" customWidth="1"/>
    <col min="1543" max="1543" width="15.140625" customWidth="1"/>
    <col min="1545" max="1545" width="14.7109375" customWidth="1"/>
    <col min="1547" max="1547" width="15.7109375" customWidth="1"/>
    <col min="1549" max="1549" width="13.42578125" customWidth="1"/>
    <col min="1550" max="1550" width="11.85546875" customWidth="1"/>
    <col min="1551" max="1551" width="12.42578125" customWidth="1"/>
    <col min="1552" max="1552" width="14.140625" customWidth="1"/>
    <col min="1553" max="1553" width="24" customWidth="1"/>
    <col min="1554" max="1554" width="13.28515625" customWidth="1"/>
    <col min="1555" max="1555" width="12" bestFit="1" customWidth="1"/>
    <col min="1793" max="1793" width="15" customWidth="1"/>
    <col min="1794" max="1794" width="25" customWidth="1"/>
    <col min="1795" max="1795" width="12.7109375" customWidth="1"/>
    <col min="1797" max="1797" width="15" customWidth="1"/>
    <col min="1799" max="1799" width="15.140625" customWidth="1"/>
    <col min="1801" max="1801" width="14.7109375" customWidth="1"/>
    <col min="1803" max="1803" width="15.7109375" customWidth="1"/>
    <col min="1805" max="1805" width="13.42578125" customWidth="1"/>
    <col min="1806" max="1806" width="11.85546875" customWidth="1"/>
    <col min="1807" max="1807" width="12.42578125" customWidth="1"/>
    <col min="1808" max="1808" width="14.140625" customWidth="1"/>
    <col min="1809" max="1809" width="24" customWidth="1"/>
    <col min="1810" max="1810" width="13.28515625" customWidth="1"/>
    <col min="1811" max="1811" width="12" bestFit="1" customWidth="1"/>
    <col min="2049" max="2049" width="15" customWidth="1"/>
    <col min="2050" max="2050" width="25" customWidth="1"/>
    <col min="2051" max="2051" width="12.7109375" customWidth="1"/>
    <col min="2053" max="2053" width="15" customWidth="1"/>
    <col min="2055" max="2055" width="15.140625" customWidth="1"/>
    <col min="2057" max="2057" width="14.7109375" customWidth="1"/>
    <col min="2059" max="2059" width="15.7109375" customWidth="1"/>
    <col min="2061" max="2061" width="13.42578125" customWidth="1"/>
    <col min="2062" max="2062" width="11.85546875" customWidth="1"/>
    <col min="2063" max="2063" width="12.42578125" customWidth="1"/>
    <col min="2064" max="2064" width="14.140625" customWidth="1"/>
    <col min="2065" max="2065" width="24" customWidth="1"/>
    <col min="2066" max="2066" width="13.28515625" customWidth="1"/>
    <col min="2067" max="2067" width="12" bestFit="1" customWidth="1"/>
    <col min="2305" max="2305" width="15" customWidth="1"/>
    <col min="2306" max="2306" width="25" customWidth="1"/>
    <col min="2307" max="2307" width="12.7109375" customWidth="1"/>
    <col min="2309" max="2309" width="15" customWidth="1"/>
    <col min="2311" max="2311" width="15.140625" customWidth="1"/>
    <col min="2313" max="2313" width="14.7109375" customWidth="1"/>
    <col min="2315" max="2315" width="15.7109375" customWidth="1"/>
    <col min="2317" max="2317" width="13.42578125" customWidth="1"/>
    <col min="2318" max="2318" width="11.85546875" customWidth="1"/>
    <col min="2319" max="2319" width="12.42578125" customWidth="1"/>
    <col min="2320" max="2320" width="14.140625" customWidth="1"/>
    <col min="2321" max="2321" width="24" customWidth="1"/>
    <col min="2322" max="2322" width="13.28515625" customWidth="1"/>
    <col min="2323" max="2323" width="12" bestFit="1" customWidth="1"/>
    <col min="2561" max="2561" width="15" customWidth="1"/>
    <col min="2562" max="2562" width="25" customWidth="1"/>
    <col min="2563" max="2563" width="12.7109375" customWidth="1"/>
    <col min="2565" max="2565" width="15" customWidth="1"/>
    <col min="2567" max="2567" width="15.140625" customWidth="1"/>
    <col min="2569" max="2569" width="14.7109375" customWidth="1"/>
    <col min="2571" max="2571" width="15.7109375" customWidth="1"/>
    <col min="2573" max="2573" width="13.42578125" customWidth="1"/>
    <col min="2574" max="2574" width="11.85546875" customWidth="1"/>
    <col min="2575" max="2575" width="12.42578125" customWidth="1"/>
    <col min="2576" max="2576" width="14.140625" customWidth="1"/>
    <col min="2577" max="2577" width="24" customWidth="1"/>
    <col min="2578" max="2578" width="13.28515625" customWidth="1"/>
    <col min="2579" max="2579" width="12" bestFit="1" customWidth="1"/>
    <col min="2817" max="2817" width="15" customWidth="1"/>
    <col min="2818" max="2818" width="25" customWidth="1"/>
    <col min="2819" max="2819" width="12.7109375" customWidth="1"/>
    <col min="2821" max="2821" width="15" customWidth="1"/>
    <col min="2823" max="2823" width="15.140625" customWidth="1"/>
    <col min="2825" max="2825" width="14.7109375" customWidth="1"/>
    <col min="2827" max="2827" width="15.7109375" customWidth="1"/>
    <col min="2829" max="2829" width="13.42578125" customWidth="1"/>
    <col min="2830" max="2830" width="11.85546875" customWidth="1"/>
    <col min="2831" max="2831" width="12.42578125" customWidth="1"/>
    <col min="2832" max="2832" width="14.140625" customWidth="1"/>
    <col min="2833" max="2833" width="24" customWidth="1"/>
    <col min="2834" max="2834" width="13.28515625" customWidth="1"/>
    <col min="2835" max="2835" width="12" bestFit="1" customWidth="1"/>
    <col min="3073" max="3073" width="15" customWidth="1"/>
    <col min="3074" max="3074" width="25" customWidth="1"/>
    <col min="3075" max="3075" width="12.7109375" customWidth="1"/>
    <col min="3077" max="3077" width="15" customWidth="1"/>
    <col min="3079" max="3079" width="15.140625" customWidth="1"/>
    <col min="3081" max="3081" width="14.7109375" customWidth="1"/>
    <col min="3083" max="3083" width="15.7109375" customWidth="1"/>
    <col min="3085" max="3085" width="13.42578125" customWidth="1"/>
    <col min="3086" max="3086" width="11.85546875" customWidth="1"/>
    <col min="3087" max="3087" width="12.42578125" customWidth="1"/>
    <col min="3088" max="3088" width="14.140625" customWidth="1"/>
    <col min="3089" max="3089" width="24" customWidth="1"/>
    <col min="3090" max="3090" width="13.28515625" customWidth="1"/>
    <col min="3091" max="3091" width="12" bestFit="1" customWidth="1"/>
    <col min="3329" max="3329" width="15" customWidth="1"/>
    <col min="3330" max="3330" width="25" customWidth="1"/>
    <col min="3331" max="3331" width="12.7109375" customWidth="1"/>
    <col min="3333" max="3333" width="15" customWidth="1"/>
    <col min="3335" max="3335" width="15.140625" customWidth="1"/>
    <col min="3337" max="3337" width="14.7109375" customWidth="1"/>
    <col min="3339" max="3339" width="15.7109375" customWidth="1"/>
    <col min="3341" max="3341" width="13.42578125" customWidth="1"/>
    <col min="3342" max="3342" width="11.85546875" customWidth="1"/>
    <col min="3343" max="3343" width="12.42578125" customWidth="1"/>
    <col min="3344" max="3344" width="14.140625" customWidth="1"/>
    <col min="3345" max="3345" width="24" customWidth="1"/>
    <col min="3346" max="3346" width="13.28515625" customWidth="1"/>
    <col min="3347" max="3347" width="12" bestFit="1" customWidth="1"/>
    <col min="3585" max="3585" width="15" customWidth="1"/>
    <col min="3586" max="3586" width="25" customWidth="1"/>
    <col min="3587" max="3587" width="12.7109375" customWidth="1"/>
    <col min="3589" max="3589" width="15" customWidth="1"/>
    <col min="3591" max="3591" width="15.140625" customWidth="1"/>
    <col min="3593" max="3593" width="14.7109375" customWidth="1"/>
    <col min="3595" max="3595" width="15.7109375" customWidth="1"/>
    <col min="3597" max="3597" width="13.42578125" customWidth="1"/>
    <col min="3598" max="3598" width="11.85546875" customWidth="1"/>
    <col min="3599" max="3599" width="12.42578125" customWidth="1"/>
    <col min="3600" max="3600" width="14.140625" customWidth="1"/>
    <col min="3601" max="3601" width="24" customWidth="1"/>
    <col min="3602" max="3602" width="13.28515625" customWidth="1"/>
    <col min="3603" max="3603" width="12" bestFit="1" customWidth="1"/>
    <col min="3841" max="3841" width="15" customWidth="1"/>
    <col min="3842" max="3842" width="25" customWidth="1"/>
    <col min="3843" max="3843" width="12.7109375" customWidth="1"/>
    <col min="3845" max="3845" width="15" customWidth="1"/>
    <col min="3847" max="3847" width="15.140625" customWidth="1"/>
    <col min="3849" max="3849" width="14.7109375" customWidth="1"/>
    <col min="3851" max="3851" width="15.7109375" customWidth="1"/>
    <col min="3853" max="3853" width="13.42578125" customWidth="1"/>
    <col min="3854" max="3854" width="11.85546875" customWidth="1"/>
    <col min="3855" max="3855" width="12.42578125" customWidth="1"/>
    <col min="3856" max="3856" width="14.140625" customWidth="1"/>
    <col min="3857" max="3857" width="24" customWidth="1"/>
    <col min="3858" max="3858" width="13.28515625" customWidth="1"/>
    <col min="3859" max="3859" width="12" bestFit="1" customWidth="1"/>
    <col min="4097" max="4097" width="15" customWidth="1"/>
    <col min="4098" max="4098" width="25" customWidth="1"/>
    <col min="4099" max="4099" width="12.7109375" customWidth="1"/>
    <col min="4101" max="4101" width="15" customWidth="1"/>
    <col min="4103" max="4103" width="15.140625" customWidth="1"/>
    <col min="4105" max="4105" width="14.7109375" customWidth="1"/>
    <col min="4107" max="4107" width="15.7109375" customWidth="1"/>
    <col min="4109" max="4109" width="13.42578125" customWidth="1"/>
    <col min="4110" max="4110" width="11.85546875" customWidth="1"/>
    <col min="4111" max="4111" width="12.42578125" customWidth="1"/>
    <col min="4112" max="4112" width="14.140625" customWidth="1"/>
    <col min="4113" max="4113" width="24" customWidth="1"/>
    <col min="4114" max="4114" width="13.28515625" customWidth="1"/>
    <col min="4115" max="4115" width="12" bestFit="1" customWidth="1"/>
    <col min="4353" max="4353" width="15" customWidth="1"/>
    <col min="4354" max="4354" width="25" customWidth="1"/>
    <col min="4355" max="4355" width="12.7109375" customWidth="1"/>
    <col min="4357" max="4357" width="15" customWidth="1"/>
    <col min="4359" max="4359" width="15.140625" customWidth="1"/>
    <col min="4361" max="4361" width="14.7109375" customWidth="1"/>
    <col min="4363" max="4363" width="15.7109375" customWidth="1"/>
    <col min="4365" max="4365" width="13.42578125" customWidth="1"/>
    <col min="4366" max="4366" width="11.85546875" customWidth="1"/>
    <col min="4367" max="4367" width="12.42578125" customWidth="1"/>
    <col min="4368" max="4368" width="14.140625" customWidth="1"/>
    <col min="4369" max="4369" width="24" customWidth="1"/>
    <col min="4370" max="4370" width="13.28515625" customWidth="1"/>
    <col min="4371" max="4371" width="12" bestFit="1" customWidth="1"/>
    <col min="4609" max="4609" width="15" customWidth="1"/>
    <col min="4610" max="4610" width="25" customWidth="1"/>
    <col min="4611" max="4611" width="12.7109375" customWidth="1"/>
    <col min="4613" max="4613" width="15" customWidth="1"/>
    <col min="4615" max="4615" width="15.140625" customWidth="1"/>
    <col min="4617" max="4617" width="14.7109375" customWidth="1"/>
    <col min="4619" max="4619" width="15.7109375" customWidth="1"/>
    <col min="4621" max="4621" width="13.42578125" customWidth="1"/>
    <col min="4622" max="4622" width="11.85546875" customWidth="1"/>
    <col min="4623" max="4623" width="12.42578125" customWidth="1"/>
    <col min="4624" max="4624" width="14.140625" customWidth="1"/>
    <col min="4625" max="4625" width="24" customWidth="1"/>
    <col min="4626" max="4626" width="13.28515625" customWidth="1"/>
    <col min="4627" max="4627" width="12" bestFit="1" customWidth="1"/>
    <col min="4865" max="4865" width="15" customWidth="1"/>
    <col min="4866" max="4866" width="25" customWidth="1"/>
    <col min="4867" max="4867" width="12.7109375" customWidth="1"/>
    <col min="4869" max="4869" width="15" customWidth="1"/>
    <col min="4871" max="4871" width="15.140625" customWidth="1"/>
    <col min="4873" max="4873" width="14.7109375" customWidth="1"/>
    <col min="4875" max="4875" width="15.7109375" customWidth="1"/>
    <col min="4877" max="4877" width="13.42578125" customWidth="1"/>
    <col min="4878" max="4878" width="11.85546875" customWidth="1"/>
    <col min="4879" max="4879" width="12.42578125" customWidth="1"/>
    <col min="4880" max="4880" width="14.140625" customWidth="1"/>
    <col min="4881" max="4881" width="24" customWidth="1"/>
    <col min="4882" max="4882" width="13.28515625" customWidth="1"/>
    <col min="4883" max="4883" width="12" bestFit="1" customWidth="1"/>
    <col min="5121" max="5121" width="15" customWidth="1"/>
    <col min="5122" max="5122" width="25" customWidth="1"/>
    <col min="5123" max="5123" width="12.7109375" customWidth="1"/>
    <col min="5125" max="5125" width="15" customWidth="1"/>
    <col min="5127" max="5127" width="15.140625" customWidth="1"/>
    <col min="5129" max="5129" width="14.7109375" customWidth="1"/>
    <col min="5131" max="5131" width="15.7109375" customWidth="1"/>
    <col min="5133" max="5133" width="13.42578125" customWidth="1"/>
    <col min="5134" max="5134" width="11.85546875" customWidth="1"/>
    <col min="5135" max="5135" width="12.42578125" customWidth="1"/>
    <col min="5136" max="5136" width="14.140625" customWidth="1"/>
    <col min="5137" max="5137" width="24" customWidth="1"/>
    <col min="5138" max="5138" width="13.28515625" customWidth="1"/>
    <col min="5139" max="5139" width="12" bestFit="1" customWidth="1"/>
    <col min="5377" max="5377" width="15" customWidth="1"/>
    <col min="5378" max="5378" width="25" customWidth="1"/>
    <col min="5379" max="5379" width="12.7109375" customWidth="1"/>
    <col min="5381" max="5381" width="15" customWidth="1"/>
    <col min="5383" max="5383" width="15.140625" customWidth="1"/>
    <col min="5385" max="5385" width="14.7109375" customWidth="1"/>
    <col min="5387" max="5387" width="15.7109375" customWidth="1"/>
    <col min="5389" max="5389" width="13.42578125" customWidth="1"/>
    <col min="5390" max="5390" width="11.85546875" customWidth="1"/>
    <col min="5391" max="5391" width="12.42578125" customWidth="1"/>
    <col min="5392" max="5392" width="14.140625" customWidth="1"/>
    <col min="5393" max="5393" width="24" customWidth="1"/>
    <col min="5394" max="5394" width="13.28515625" customWidth="1"/>
    <col min="5395" max="5395" width="12" bestFit="1" customWidth="1"/>
    <col min="5633" max="5633" width="15" customWidth="1"/>
    <col min="5634" max="5634" width="25" customWidth="1"/>
    <col min="5635" max="5635" width="12.7109375" customWidth="1"/>
    <col min="5637" max="5637" width="15" customWidth="1"/>
    <col min="5639" max="5639" width="15.140625" customWidth="1"/>
    <col min="5641" max="5641" width="14.7109375" customWidth="1"/>
    <col min="5643" max="5643" width="15.7109375" customWidth="1"/>
    <col min="5645" max="5645" width="13.42578125" customWidth="1"/>
    <col min="5646" max="5646" width="11.85546875" customWidth="1"/>
    <col min="5647" max="5647" width="12.42578125" customWidth="1"/>
    <col min="5648" max="5648" width="14.140625" customWidth="1"/>
    <col min="5649" max="5649" width="24" customWidth="1"/>
    <col min="5650" max="5650" width="13.28515625" customWidth="1"/>
    <col min="5651" max="5651" width="12" bestFit="1" customWidth="1"/>
    <col min="5889" max="5889" width="15" customWidth="1"/>
    <col min="5890" max="5890" width="25" customWidth="1"/>
    <col min="5891" max="5891" width="12.7109375" customWidth="1"/>
    <col min="5893" max="5893" width="15" customWidth="1"/>
    <col min="5895" max="5895" width="15.140625" customWidth="1"/>
    <col min="5897" max="5897" width="14.7109375" customWidth="1"/>
    <col min="5899" max="5899" width="15.7109375" customWidth="1"/>
    <col min="5901" max="5901" width="13.42578125" customWidth="1"/>
    <col min="5902" max="5902" width="11.85546875" customWidth="1"/>
    <col min="5903" max="5903" width="12.42578125" customWidth="1"/>
    <col min="5904" max="5904" width="14.140625" customWidth="1"/>
    <col min="5905" max="5905" width="24" customWidth="1"/>
    <col min="5906" max="5906" width="13.28515625" customWidth="1"/>
    <col min="5907" max="5907" width="12" bestFit="1" customWidth="1"/>
    <col min="6145" max="6145" width="15" customWidth="1"/>
    <col min="6146" max="6146" width="25" customWidth="1"/>
    <col min="6147" max="6147" width="12.7109375" customWidth="1"/>
    <col min="6149" max="6149" width="15" customWidth="1"/>
    <col min="6151" max="6151" width="15.140625" customWidth="1"/>
    <col min="6153" max="6153" width="14.7109375" customWidth="1"/>
    <col min="6155" max="6155" width="15.7109375" customWidth="1"/>
    <col min="6157" max="6157" width="13.42578125" customWidth="1"/>
    <col min="6158" max="6158" width="11.85546875" customWidth="1"/>
    <col min="6159" max="6159" width="12.42578125" customWidth="1"/>
    <col min="6160" max="6160" width="14.140625" customWidth="1"/>
    <col min="6161" max="6161" width="24" customWidth="1"/>
    <col min="6162" max="6162" width="13.28515625" customWidth="1"/>
    <col min="6163" max="6163" width="12" bestFit="1" customWidth="1"/>
    <col min="6401" max="6401" width="15" customWidth="1"/>
    <col min="6402" max="6402" width="25" customWidth="1"/>
    <col min="6403" max="6403" width="12.7109375" customWidth="1"/>
    <col min="6405" max="6405" width="15" customWidth="1"/>
    <col min="6407" max="6407" width="15.140625" customWidth="1"/>
    <col min="6409" max="6409" width="14.7109375" customWidth="1"/>
    <col min="6411" max="6411" width="15.7109375" customWidth="1"/>
    <col min="6413" max="6413" width="13.42578125" customWidth="1"/>
    <col min="6414" max="6414" width="11.85546875" customWidth="1"/>
    <col min="6415" max="6415" width="12.42578125" customWidth="1"/>
    <col min="6416" max="6416" width="14.140625" customWidth="1"/>
    <col min="6417" max="6417" width="24" customWidth="1"/>
    <col min="6418" max="6418" width="13.28515625" customWidth="1"/>
    <col min="6419" max="6419" width="12" bestFit="1" customWidth="1"/>
    <col min="6657" max="6657" width="15" customWidth="1"/>
    <col min="6658" max="6658" width="25" customWidth="1"/>
    <col min="6659" max="6659" width="12.7109375" customWidth="1"/>
    <col min="6661" max="6661" width="15" customWidth="1"/>
    <col min="6663" max="6663" width="15.140625" customWidth="1"/>
    <col min="6665" max="6665" width="14.7109375" customWidth="1"/>
    <col min="6667" max="6667" width="15.7109375" customWidth="1"/>
    <col min="6669" max="6669" width="13.42578125" customWidth="1"/>
    <col min="6670" max="6670" width="11.85546875" customWidth="1"/>
    <col min="6671" max="6671" width="12.42578125" customWidth="1"/>
    <col min="6672" max="6672" width="14.140625" customWidth="1"/>
    <col min="6673" max="6673" width="24" customWidth="1"/>
    <col min="6674" max="6674" width="13.28515625" customWidth="1"/>
    <col min="6675" max="6675" width="12" bestFit="1" customWidth="1"/>
    <col min="6913" max="6913" width="15" customWidth="1"/>
    <col min="6914" max="6914" width="25" customWidth="1"/>
    <col min="6915" max="6915" width="12.7109375" customWidth="1"/>
    <col min="6917" max="6917" width="15" customWidth="1"/>
    <col min="6919" max="6919" width="15.140625" customWidth="1"/>
    <col min="6921" max="6921" width="14.7109375" customWidth="1"/>
    <col min="6923" max="6923" width="15.7109375" customWidth="1"/>
    <col min="6925" max="6925" width="13.42578125" customWidth="1"/>
    <col min="6926" max="6926" width="11.85546875" customWidth="1"/>
    <col min="6927" max="6927" width="12.42578125" customWidth="1"/>
    <col min="6928" max="6928" width="14.140625" customWidth="1"/>
    <col min="6929" max="6929" width="24" customWidth="1"/>
    <col min="6930" max="6930" width="13.28515625" customWidth="1"/>
    <col min="6931" max="6931" width="12" bestFit="1" customWidth="1"/>
    <col min="7169" max="7169" width="15" customWidth="1"/>
    <col min="7170" max="7170" width="25" customWidth="1"/>
    <col min="7171" max="7171" width="12.7109375" customWidth="1"/>
    <col min="7173" max="7173" width="15" customWidth="1"/>
    <col min="7175" max="7175" width="15.140625" customWidth="1"/>
    <col min="7177" max="7177" width="14.7109375" customWidth="1"/>
    <col min="7179" max="7179" width="15.7109375" customWidth="1"/>
    <col min="7181" max="7181" width="13.42578125" customWidth="1"/>
    <col min="7182" max="7182" width="11.85546875" customWidth="1"/>
    <col min="7183" max="7183" width="12.42578125" customWidth="1"/>
    <col min="7184" max="7184" width="14.140625" customWidth="1"/>
    <col min="7185" max="7185" width="24" customWidth="1"/>
    <col min="7186" max="7186" width="13.28515625" customWidth="1"/>
    <col min="7187" max="7187" width="12" bestFit="1" customWidth="1"/>
    <col min="7425" max="7425" width="15" customWidth="1"/>
    <col min="7426" max="7426" width="25" customWidth="1"/>
    <col min="7427" max="7427" width="12.7109375" customWidth="1"/>
    <col min="7429" max="7429" width="15" customWidth="1"/>
    <col min="7431" max="7431" width="15.140625" customWidth="1"/>
    <col min="7433" max="7433" width="14.7109375" customWidth="1"/>
    <col min="7435" max="7435" width="15.7109375" customWidth="1"/>
    <col min="7437" max="7437" width="13.42578125" customWidth="1"/>
    <col min="7438" max="7438" width="11.85546875" customWidth="1"/>
    <col min="7439" max="7439" width="12.42578125" customWidth="1"/>
    <col min="7440" max="7440" width="14.140625" customWidth="1"/>
    <col min="7441" max="7441" width="24" customWidth="1"/>
    <col min="7442" max="7442" width="13.28515625" customWidth="1"/>
    <col min="7443" max="7443" width="12" bestFit="1" customWidth="1"/>
    <col min="7681" max="7681" width="15" customWidth="1"/>
    <col min="7682" max="7682" width="25" customWidth="1"/>
    <col min="7683" max="7683" width="12.7109375" customWidth="1"/>
    <col min="7685" max="7685" width="15" customWidth="1"/>
    <col min="7687" max="7687" width="15.140625" customWidth="1"/>
    <col min="7689" max="7689" width="14.7109375" customWidth="1"/>
    <col min="7691" max="7691" width="15.7109375" customWidth="1"/>
    <col min="7693" max="7693" width="13.42578125" customWidth="1"/>
    <col min="7694" max="7694" width="11.85546875" customWidth="1"/>
    <col min="7695" max="7695" width="12.42578125" customWidth="1"/>
    <col min="7696" max="7696" width="14.140625" customWidth="1"/>
    <col min="7697" max="7697" width="24" customWidth="1"/>
    <col min="7698" max="7698" width="13.28515625" customWidth="1"/>
    <col min="7699" max="7699" width="12" bestFit="1" customWidth="1"/>
    <col min="7937" max="7937" width="15" customWidth="1"/>
    <col min="7938" max="7938" width="25" customWidth="1"/>
    <col min="7939" max="7939" width="12.7109375" customWidth="1"/>
    <col min="7941" max="7941" width="15" customWidth="1"/>
    <col min="7943" max="7943" width="15.140625" customWidth="1"/>
    <col min="7945" max="7945" width="14.7109375" customWidth="1"/>
    <col min="7947" max="7947" width="15.7109375" customWidth="1"/>
    <col min="7949" max="7949" width="13.42578125" customWidth="1"/>
    <col min="7950" max="7950" width="11.85546875" customWidth="1"/>
    <col min="7951" max="7951" width="12.42578125" customWidth="1"/>
    <col min="7952" max="7952" width="14.140625" customWidth="1"/>
    <col min="7953" max="7953" width="24" customWidth="1"/>
    <col min="7954" max="7954" width="13.28515625" customWidth="1"/>
    <col min="7955" max="7955" width="12" bestFit="1" customWidth="1"/>
    <col min="8193" max="8193" width="15" customWidth="1"/>
    <col min="8194" max="8194" width="25" customWidth="1"/>
    <col min="8195" max="8195" width="12.7109375" customWidth="1"/>
    <col min="8197" max="8197" width="15" customWidth="1"/>
    <col min="8199" max="8199" width="15.140625" customWidth="1"/>
    <col min="8201" max="8201" width="14.7109375" customWidth="1"/>
    <col min="8203" max="8203" width="15.7109375" customWidth="1"/>
    <col min="8205" max="8205" width="13.42578125" customWidth="1"/>
    <col min="8206" max="8206" width="11.85546875" customWidth="1"/>
    <col min="8207" max="8207" width="12.42578125" customWidth="1"/>
    <col min="8208" max="8208" width="14.140625" customWidth="1"/>
    <col min="8209" max="8209" width="24" customWidth="1"/>
    <col min="8210" max="8210" width="13.28515625" customWidth="1"/>
    <col min="8211" max="8211" width="12" bestFit="1" customWidth="1"/>
    <col min="8449" max="8449" width="15" customWidth="1"/>
    <col min="8450" max="8450" width="25" customWidth="1"/>
    <col min="8451" max="8451" width="12.7109375" customWidth="1"/>
    <col min="8453" max="8453" width="15" customWidth="1"/>
    <col min="8455" max="8455" width="15.140625" customWidth="1"/>
    <col min="8457" max="8457" width="14.7109375" customWidth="1"/>
    <col min="8459" max="8459" width="15.7109375" customWidth="1"/>
    <col min="8461" max="8461" width="13.42578125" customWidth="1"/>
    <col min="8462" max="8462" width="11.85546875" customWidth="1"/>
    <col min="8463" max="8463" width="12.42578125" customWidth="1"/>
    <col min="8464" max="8464" width="14.140625" customWidth="1"/>
    <col min="8465" max="8465" width="24" customWidth="1"/>
    <col min="8466" max="8466" width="13.28515625" customWidth="1"/>
    <col min="8467" max="8467" width="12" bestFit="1" customWidth="1"/>
    <col min="8705" max="8705" width="15" customWidth="1"/>
    <col min="8706" max="8706" width="25" customWidth="1"/>
    <col min="8707" max="8707" width="12.7109375" customWidth="1"/>
    <col min="8709" max="8709" width="15" customWidth="1"/>
    <col min="8711" max="8711" width="15.140625" customWidth="1"/>
    <col min="8713" max="8713" width="14.7109375" customWidth="1"/>
    <col min="8715" max="8715" width="15.7109375" customWidth="1"/>
    <col min="8717" max="8717" width="13.42578125" customWidth="1"/>
    <col min="8718" max="8718" width="11.85546875" customWidth="1"/>
    <col min="8719" max="8719" width="12.42578125" customWidth="1"/>
    <col min="8720" max="8720" width="14.140625" customWidth="1"/>
    <col min="8721" max="8721" width="24" customWidth="1"/>
    <col min="8722" max="8722" width="13.28515625" customWidth="1"/>
    <col min="8723" max="8723" width="12" bestFit="1" customWidth="1"/>
    <col min="8961" max="8961" width="15" customWidth="1"/>
    <col min="8962" max="8962" width="25" customWidth="1"/>
    <col min="8963" max="8963" width="12.7109375" customWidth="1"/>
    <col min="8965" max="8965" width="15" customWidth="1"/>
    <col min="8967" max="8967" width="15.140625" customWidth="1"/>
    <col min="8969" max="8969" width="14.7109375" customWidth="1"/>
    <col min="8971" max="8971" width="15.7109375" customWidth="1"/>
    <col min="8973" max="8973" width="13.42578125" customWidth="1"/>
    <col min="8974" max="8974" width="11.85546875" customWidth="1"/>
    <col min="8975" max="8975" width="12.42578125" customWidth="1"/>
    <col min="8976" max="8976" width="14.140625" customWidth="1"/>
    <col min="8977" max="8977" width="24" customWidth="1"/>
    <col min="8978" max="8978" width="13.28515625" customWidth="1"/>
    <col min="8979" max="8979" width="12" bestFit="1" customWidth="1"/>
    <col min="9217" max="9217" width="15" customWidth="1"/>
    <col min="9218" max="9218" width="25" customWidth="1"/>
    <col min="9219" max="9219" width="12.7109375" customWidth="1"/>
    <col min="9221" max="9221" width="15" customWidth="1"/>
    <col min="9223" max="9223" width="15.140625" customWidth="1"/>
    <col min="9225" max="9225" width="14.7109375" customWidth="1"/>
    <col min="9227" max="9227" width="15.7109375" customWidth="1"/>
    <col min="9229" max="9229" width="13.42578125" customWidth="1"/>
    <col min="9230" max="9230" width="11.85546875" customWidth="1"/>
    <col min="9231" max="9231" width="12.42578125" customWidth="1"/>
    <col min="9232" max="9232" width="14.140625" customWidth="1"/>
    <col min="9233" max="9233" width="24" customWidth="1"/>
    <col min="9234" max="9234" width="13.28515625" customWidth="1"/>
    <col min="9235" max="9235" width="12" bestFit="1" customWidth="1"/>
    <col min="9473" max="9473" width="15" customWidth="1"/>
    <col min="9474" max="9474" width="25" customWidth="1"/>
    <col min="9475" max="9475" width="12.7109375" customWidth="1"/>
    <col min="9477" max="9477" width="15" customWidth="1"/>
    <col min="9479" max="9479" width="15.140625" customWidth="1"/>
    <col min="9481" max="9481" width="14.7109375" customWidth="1"/>
    <col min="9483" max="9483" width="15.7109375" customWidth="1"/>
    <col min="9485" max="9485" width="13.42578125" customWidth="1"/>
    <col min="9486" max="9486" width="11.85546875" customWidth="1"/>
    <col min="9487" max="9487" width="12.42578125" customWidth="1"/>
    <col min="9488" max="9488" width="14.140625" customWidth="1"/>
    <col min="9489" max="9489" width="24" customWidth="1"/>
    <col min="9490" max="9490" width="13.28515625" customWidth="1"/>
    <col min="9491" max="9491" width="12" bestFit="1" customWidth="1"/>
    <col min="9729" max="9729" width="15" customWidth="1"/>
    <col min="9730" max="9730" width="25" customWidth="1"/>
    <col min="9731" max="9731" width="12.7109375" customWidth="1"/>
    <col min="9733" max="9733" width="15" customWidth="1"/>
    <col min="9735" max="9735" width="15.140625" customWidth="1"/>
    <col min="9737" max="9737" width="14.7109375" customWidth="1"/>
    <col min="9739" max="9739" width="15.7109375" customWidth="1"/>
    <col min="9741" max="9741" width="13.42578125" customWidth="1"/>
    <col min="9742" max="9742" width="11.85546875" customWidth="1"/>
    <col min="9743" max="9743" width="12.42578125" customWidth="1"/>
    <col min="9744" max="9744" width="14.140625" customWidth="1"/>
    <col min="9745" max="9745" width="24" customWidth="1"/>
    <col min="9746" max="9746" width="13.28515625" customWidth="1"/>
    <col min="9747" max="9747" width="12" bestFit="1" customWidth="1"/>
    <col min="9985" max="9985" width="15" customWidth="1"/>
    <col min="9986" max="9986" width="25" customWidth="1"/>
    <col min="9987" max="9987" width="12.7109375" customWidth="1"/>
    <col min="9989" max="9989" width="15" customWidth="1"/>
    <col min="9991" max="9991" width="15.140625" customWidth="1"/>
    <col min="9993" max="9993" width="14.7109375" customWidth="1"/>
    <col min="9995" max="9995" width="15.7109375" customWidth="1"/>
    <col min="9997" max="9997" width="13.42578125" customWidth="1"/>
    <col min="9998" max="9998" width="11.85546875" customWidth="1"/>
    <col min="9999" max="9999" width="12.42578125" customWidth="1"/>
    <col min="10000" max="10000" width="14.140625" customWidth="1"/>
    <col min="10001" max="10001" width="24" customWidth="1"/>
    <col min="10002" max="10002" width="13.28515625" customWidth="1"/>
    <col min="10003" max="10003" width="12" bestFit="1" customWidth="1"/>
    <col min="10241" max="10241" width="15" customWidth="1"/>
    <col min="10242" max="10242" width="25" customWidth="1"/>
    <col min="10243" max="10243" width="12.7109375" customWidth="1"/>
    <col min="10245" max="10245" width="15" customWidth="1"/>
    <col min="10247" max="10247" width="15.140625" customWidth="1"/>
    <col min="10249" max="10249" width="14.7109375" customWidth="1"/>
    <col min="10251" max="10251" width="15.7109375" customWidth="1"/>
    <col min="10253" max="10253" width="13.42578125" customWidth="1"/>
    <col min="10254" max="10254" width="11.85546875" customWidth="1"/>
    <col min="10255" max="10255" width="12.42578125" customWidth="1"/>
    <col min="10256" max="10256" width="14.140625" customWidth="1"/>
    <col min="10257" max="10257" width="24" customWidth="1"/>
    <col min="10258" max="10258" width="13.28515625" customWidth="1"/>
    <col min="10259" max="10259" width="12" bestFit="1" customWidth="1"/>
    <col min="10497" max="10497" width="15" customWidth="1"/>
    <col min="10498" max="10498" width="25" customWidth="1"/>
    <col min="10499" max="10499" width="12.7109375" customWidth="1"/>
    <col min="10501" max="10501" width="15" customWidth="1"/>
    <col min="10503" max="10503" width="15.140625" customWidth="1"/>
    <col min="10505" max="10505" width="14.7109375" customWidth="1"/>
    <col min="10507" max="10507" width="15.7109375" customWidth="1"/>
    <col min="10509" max="10509" width="13.42578125" customWidth="1"/>
    <col min="10510" max="10510" width="11.85546875" customWidth="1"/>
    <col min="10511" max="10511" width="12.42578125" customWidth="1"/>
    <col min="10512" max="10512" width="14.140625" customWidth="1"/>
    <col min="10513" max="10513" width="24" customWidth="1"/>
    <col min="10514" max="10514" width="13.28515625" customWidth="1"/>
    <col min="10515" max="10515" width="12" bestFit="1" customWidth="1"/>
    <col min="10753" max="10753" width="15" customWidth="1"/>
    <col min="10754" max="10754" width="25" customWidth="1"/>
    <col min="10755" max="10755" width="12.7109375" customWidth="1"/>
    <col min="10757" max="10757" width="15" customWidth="1"/>
    <col min="10759" max="10759" width="15.140625" customWidth="1"/>
    <col min="10761" max="10761" width="14.7109375" customWidth="1"/>
    <col min="10763" max="10763" width="15.7109375" customWidth="1"/>
    <col min="10765" max="10765" width="13.42578125" customWidth="1"/>
    <col min="10766" max="10766" width="11.85546875" customWidth="1"/>
    <col min="10767" max="10767" width="12.42578125" customWidth="1"/>
    <col min="10768" max="10768" width="14.140625" customWidth="1"/>
    <col min="10769" max="10769" width="24" customWidth="1"/>
    <col min="10770" max="10770" width="13.28515625" customWidth="1"/>
    <col min="10771" max="10771" width="12" bestFit="1" customWidth="1"/>
    <col min="11009" max="11009" width="15" customWidth="1"/>
    <col min="11010" max="11010" width="25" customWidth="1"/>
    <col min="11011" max="11011" width="12.7109375" customWidth="1"/>
    <col min="11013" max="11013" width="15" customWidth="1"/>
    <col min="11015" max="11015" width="15.140625" customWidth="1"/>
    <col min="11017" max="11017" width="14.7109375" customWidth="1"/>
    <col min="11019" max="11019" width="15.7109375" customWidth="1"/>
    <col min="11021" max="11021" width="13.42578125" customWidth="1"/>
    <col min="11022" max="11022" width="11.85546875" customWidth="1"/>
    <col min="11023" max="11023" width="12.42578125" customWidth="1"/>
    <col min="11024" max="11024" width="14.140625" customWidth="1"/>
    <col min="11025" max="11025" width="24" customWidth="1"/>
    <col min="11026" max="11026" width="13.28515625" customWidth="1"/>
    <col min="11027" max="11027" width="12" bestFit="1" customWidth="1"/>
    <col min="11265" max="11265" width="15" customWidth="1"/>
    <col min="11266" max="11266" width="25" customWidth="1"/>
    <col min="11267" max="11267" width="12.7109375" customWidth="1"/>
    <col min="11269" max="11269" width="15" customWidth="1"/>
    <col min="11271" max="11271" width="15.140625" customWidth="1"/>
    <col min="11273" max="11273" width="14.7109375" customWidth="1"/>
    <col min="11275" max="11275" width="15.7109375" customWidth="1"/>
    <col min="11277" max="11277" width="13.42578125" customWidth="1"/>
    <col min="11278" max="11278" width="11.85546875" customWidth="1"/>
    <col min="11279" max="11279" width="12.42578125" customWidth="1"/>
    <col min="11280" max="11280" width="14.140625" customWidth="1"/>
    <col min="11281" max="11281" width="24" customWidth="1"/>
    <col min="11282" max="11282" width="13.28515625" customWidth="1"/>
    <col min="11283" max="11283" width="12" bestFit="1" customWidth="1"/>
    <col min="11521" max="11521" width="15" customWidth="1"/>
    <col min="11522" max="11522" width="25" customWidth="1"/>
    <col min="11523" max="11523" width="12.7109375" customWidth="1"/>
    <col min="11525" max="11525" width="15" customWidth="1"/>
    <col min="11527" max="11527" width="15.140625" customWidth="1"/>
    <col min="11529" max="11529" width="14.7109375" customWidth="1"/>
    <col min="11531" max="11531" width="15.7109375" customWidth="1"/>
    <col min="11533" max="11533" width="13.42578125" customWidth="1"/>
    <col min="11534" max="11534" width="11.85546875" customWidth="1"/>
    <col min="11535" max="11535" width="12.42578125" customWidth="1"/>
    <col min="11536" max="11536" width="14.140625" customWidth="1"/>
    <col min="11537" max="11537" width="24" customWidth="1"/>
    <col min="11538" max="11538" width="13.28515625" customWidth="1"/>
    <col min="11539" max="11539" width="12" bestFit="1" customWidth="1"/>
    <col min="11777" max="11777" width="15" customWidth="1"/>
    <col min="11778" max="11778" width="25" customWidth="1"/>
    <col min="11779" max="11779" width="12.7109375" customWidth="1"/>
    <col min="11781" max="11781" width="15" customWidth="1"/>
    <col min="11783" max="11783" width="15.140625" customWidth="1"/>
    <col min="11785" max="11785" width="14.7109375" customWidth="1"/>
    <col min="11787" max="11787" width="15.7109375" customWidth="1"/>
    <col min="11789" max="11789" width="13.42578125" customWidth="1"/>
    <col min="11790" max="11790" width="11.85546875" customWidth="1"/>
    <col min="11791" max="11791" width="12.42578125" customWidth="1"/>
    <col min="11792" max="11792" width="14.140625" customWidth="1"/>
    <col min="11793" max="11793" width="24" customWidth="1"/>
    <col min="11794" max="11794" width="13.28515625" customWidth="1"/>
    <col min="11795" max="11795" width="12" bestFit="1" customWidth="1"/>
    <col min="12033" max="12033" width="15" customWidth="1"/>
    <col min="12034" max="12034" width="25" customWidth="1"/>
    <col min="12035" max="12035" width="12.7109375" customWidth="1"/>
    <col min="12037" max="12037" width="15" customWidth="1"/>
    <col min="12039" max="12039" width="15.140625" customWidth="1"/>
    <col min="12041" max="12041" width="14.7109375" customWidth="1"/>
    <col min="12043" max="12043" width="15.7109375" customWidth="1"/>
    <col min="12045" max="12045" width="13.42578125" customWidth="1"/>
    <col min="12046" max="12046" width="11.85546875" customWidth="1"/>
    <col min="12047" max="12047" width="12.42578125" customWidth="1"/>
    <col min="12048" max="12048" width="14.140625" customWidth="1"/>
    <col min="12049" max="12049" width="24" customWidth="1"/>
    <col min="12050" max="12050" width="13.28515625" customWidth="1"/>
    <col min="12051" max="12051" width="12" bestFit="1" customWidth="1"/>
    <col min="12289" max="12289" width="15" customWidth="1"/>
    <col min="12290" max="12290" width="25" customWidth="1"/>
    <col min="12291" max="12291" width="12.7109375" customWidth="1"/>
    <col min="12293" max="12293" width="15" customWidth="1"/>
    <col min="12295" max="12295" width="15.140625" customWidth="1"/>
    <col min="12297" max="12297" width="14.7109375" customWidth="1"/>
    <col min="12299" max="12299" width="15.7109375" customWidth="1"/>
    <col min="12301" max="12301" width="13.42578125" customWidth="1"/>
    <col min="12302" max="12302" width="11.85546875" customWidth="1"/>
    <col min="12303" max="12303" width="12.42578125" customWidth="1"/>
    <col min="12304" max="12304" width="14.140625" customWidth="1"/>
    <col min="12305" max="12305" width="24" customWidth="1"/>
    <col min="12306" max="12306" width="13.28515625" customWidth="1"/>
    <col min="12307" max="12307" width="12" bestFit="1" customWidth="1"/>
    <col min="12545" max="12545" width="15" customWidth="1"/>
    <col min="12546" max="12546" width="25" customWidth="1"/>
    <col min="12547" max="12547" width="12.7109375" customWidth="1"/>
    <col min="12549" max="12549" width="15" customWidth="1"/>
    <col min="12551" max="12551" width="15.140625" customWidth="1"/>
    <col min="12553" max="12553" width="14.7109375" customWidth="1"/>
    <col min="12555" max="12555" width="15.7109375" customWidth="1"/>
    <col min="12557" max="12557" width="13.42578125" customWidth="1"/>
    <col min="12558" max="12558" width="11.85546875" customWidth="1"/>
    <col min="12559" max="12559" width="12.42578125" customWidth="1"/>
    <col min="12560" max="12560" width="14.140625" customWidth="1"/>
    <col min="12561" max="12561" width="24" customWidth="1"/>
    <col min="12562" max="12562" width="13.28515625" customWidth="1"/>
    <col min="12563" max="12563" width="12" bestFit="1" customWidth="1"/>
    <col min="12801" max="12801" width="15" customWidth="1"/>
    <col min="12802" max="12802" width="25" customWidth="1"/>
    <col min="12803" max="12803" width="12.7109375" customWidth="1"/>
    <col min="12805" max="12805" width="15" customWidth="1"/>
    <col min="12807" max="12807" width="15.140625" customWidth="1"/>
    <col min="12809" max="12809" width="14.7109375" customWidth="1"/>
    <col min="12811" max="12811" width="15.7109375" customWidth="1"/>
    <col min="12813" max="12813" width="13.42578125" customWidth="1"/>
    <col min="12814" max="12814" width="11.85546875" customWidth="1"/>
    <col min="12815" max="12815" width="12.42578125" customWidth="1"/>
    <col min="12816" max="12816" width="14.140625" customWidth="1"/>
    <col min="12817" max="12817" width="24" customWidth="1"/>
    <col min="12818" max="12818" width="13.28515625" customWidth="1"/>
    <col min="12819" max="12819" width="12" bestFit="1" customWidth="1"/>
    <col min="13057" max="13057" width="15" customWidth="1"/>
    <col min="13058" max="13058" width="25" customWidth="1"/>
    <col min="13059" max="13059" width="12.7109375" customWidth="1"/>
    <col min="13061" max="13061" width="15" customWidth="1"/>
    <col min="13063" max="13063" width="15.140625" customWidth="1"/>
    <col min="13065" max="13065" width="14.7109375" customWidth="1"/>
    <col min="13067" max="13067" width="15.7109375" customWidth="1"/>
    <col min="13069" max="13069" width="13.42578125" customWidth="1"/>
    <col min="13070" max="13070" width="11.85546875" customWidth="1"/>
    <col min="13071" max="13071" width="12.42578125" customWidth="1"/>
    <col min="13072" max="13072" width="14.140625" customWidth="1"/>
    <col min="13073" max="13073" width="24" customWidth="1"/>
    <col min="13074" max="13074" width="13.28515625" customWidth="1"/>
    <col min="13075" max="13075" width="12" bestFit="1" customWidth="1"/>
    <col min="13313" max="13313" width="15" customWidth="1"/>
    <col min="13314" max="13314" width="25" customWidth="1"/>
    <col min="13315" max="13315" width="12.7109375" customWidth="1"/>
    <col min="13317" max="13317" width="15" customWidth="1"/>
    <col min="13319" max="13319" width="15.140625" customWidth="1"/>
    <col min="13321" max="13321" width="14.7109375" customWidth="1"/>
    <col min="13323" max="13323" width="15.7109375" customWidth="1"/>
    <col min="13325" max="13325" width="13.42578125" customWidth="1"/>
    <col min="13326" max="13326" width="11.85546875" customWidth="1"/>
    <col min="13327" max="13327" width="12.42578125" customWidth="1"/>
    <col min="13328" max="13328" width="14.140625" customWidth="1"/>
    <col min="13329" max="13329" width="24" customWidth="1"/>
    <col min="13330" max="13330" width="13.28515625" customWidth="1"/>
    <col min="13331" max="13331" width="12" bestFit="1" customWidth="1"/>
    <col min="13569" max="13569" width="15" customWidth="1"/>
    <col min="13570" max="13570" width="25" customWidth="1"/>
    <col min="13571" max="13571" width="12.7109375" customWidth="1"/>
    <col min="13573" max="13573" width="15" customWidth="1"/>
    <col min="13575" max="13575" width="15.140625" customWidth="1"/>
    <col min="13577" max="13577" width="14.7109375" customWidth="1"/>
    <col min="13579" max="13579" width="15.7109375" customWidth="1"/>
    <col min="13581" max="13581" width="13.42578125" customWidth="1"/>
    <col min="13582" max="13582" width="11.85546875" customWidth="1"/>
    <col min="13583" max="13583" width="12.42578125" customWidth="1"/>
    <col min="13584" max="13584" width="14.140625" customWidth="1"/>
    <col min="13585" max="13585" width="24" customWidth="1"/>
    <col min="13586" max="13586" width="13.28515625" customWidth="1"/>
    <col min="13587" max="13587" width="12" bestFit="1" customWidth="1"/>
    <col min="13825" max="13825" width="15" customWidth="1"/>
    <col min="13826" max="13826" width="25" customWidth="1"/>
    <col min="13827" max="13827" width="12.7109375" customWidth="1"/>
    <col min="13829" max="13829" width="15" customWidth="1"/>
    <col min="13831" max="13831" width="15.140625" customWidth="1"/>
    <col min="13833" max="13833" width="14.7109375" customWidth="1"/>
    <col min="13835" max="13835" width="15.7109375" customWidth="1"/>
    <col min="13837" max="13837" width="13.42578125" customWidth="1"/>
    <col min="13838" max="13838" width="11.85546875" customWidth="1"/>
    <col min="13839" max="13839" width="12.42578125" customWidth="1"/>
    <col min="13840" max="13840" width="14.140625" customWidth="1"/>
    <col min="13841" max="13841" width="24" customWidth="1"/>
    <col min="13842" max="13842" width="13.28515625" customWidth="1"/>
    <col min="13843" max="13843" width="12" bestFit="1" customWidth="1"/>
    <col min="14081" max="14081" width="15" customWidth="1"/>
    <col min="14082" max="14082" width="25" customWidth="1"/>
    <col min="14083" max="14083" width="12.7109375" customWidth="1"/>
    <col min="14085" max="14085" width="15" customWidth="1"/>
    <col min="14087" max="14087" width="15.140625" customWidth="1"/>
    <col min="14089" max="14089" width="14.7109375" customWidth="1"/>
    <col min="14091" max="14091" width="15.7109375" customWidth="1"/>
    <col min="14093" max="14093" width="13.42578125" customWidth="1"/>
    <col min="14094" max="14094" width="11.85546875" customWidth="1"/>
    <col min="14095" max="14095" width="12.42578125" customWidth="1"/>
    <col min="14096" max="14096" width="14.140625" customWidth="1"/>
    <col min="14097" max="14097" width="24" customWidth="1"/>
    <col min="14098" max="14098" width="13.28515625" customWidth="1"/>
    <col min="14099" max="14099" width="12" bestFit="1" customWidth="1"/>
    <col min="14337" max="14337" width="15" customWidth="1"/>
    <col min="14338" max="14338" width="25" customWidth="1"/>
    <col min="14339" max="14339" width="12.7109375" customWidth="1"/>
    <col min="14341" max="14341" width="15" customWidth="1"/>
    <col min="14343" max="14343" width="15.140625" customWidth="1"/>
    <col min="14345" max="14345" width="14.7109375" customWidth="1"/>
    <col min="14347" max="14347" width="15.7109375" customWidth="1"/>
    <col min="14349" max="14349" width="13.42578125" customWidth="1"/>
    <col min="14350" max="14350" width="11.85546875" customWidth="1"/>
    <col min="14351" max="14351" width="12.42578125" customWidth="1"/>
    <col min="14352" max="14352" width="14.140625" customWidth="1"/>
    <col min="14353" max="14353" width="24" customWidth="1"/>
    <col min="14354" max="14354" width="13.28515625" customWidth="1"/>
    <col min="14355" max="14355" width="12" bestFit="1" customWidth="1"/>
    <col min="14593" max="14593" width="15" customWidth="1"/>
    <col min="14594" max="14594" width="25" customWidth="1"/>
    <col min="14595" max="14595" width="12.7109375" customWidth="1"/>
    <col min="14597" max="14597" width="15" customWidth="1"/>
    <col min="14599" max="14599" width="15.140625" customWidth="1"/>
    <col min="14601" max="14601" width="14.7109375" customWidth="1"/>
    <col min="14603" max="14603" width="15.7109375" customWidth="1"/>
    <col min="14605" max="14605" width="13.42578125" customWidth="1"/>
    <col min="14606" max="14606" width="11.85546875" customWidth="1"/>
    <col min="14607" max="14607" width="12.42578125" customWidth="1"/>
    <col min="14608" max="14608" width="14.140625" customWidth="1"/>
    <col min="14609" max="14609" width="24" customWidth="1"/>
    <col min="14610" max="14610" width="13.28515625" customWidth="1"/>
    <col min="14611" max="14611" width="12" bestFit="1" customWidth="1"/>
    <col min="14849" max="14849" width="15" customWidth="1"/>
    <col min="14850" max="14850" width="25" customWidth="1"/>
    <col min="14851" max="14851" width="12.7109375" customWidth="1"/>
    <col min="14853" max="14853" width="15" customWidth="1"/>
    <col min="14855" max="14855" width="15.140625" customWidth="1"/>
    <col min="14857" max="14857" width="14.7109375" customWidth="1"/>
    <col min="14859" max="14859" width="15.7109375" customWidth="1"/>
    <col min="14861" max="14861" width="13.42578125" customWidth="1"/>
    <col min="14862" max="14862" width="11.85546875" customWidth="1"/>
    <col min="14863" max="14863" width="12.42578125" customWidth="1"/>
    <col min="14864" max="14864" width="14.140625" customWidth="1"/>
    <col min="14865" max="14865" width="24" customWidth="1"/>
    <col min="14866" max="14866" width="13.28515625" customWidth="1"/>
    <col min="14867" max="14867" width="12" bestFit="1" customWidth="1"/>
    <col min="15105" max="15105" width="15" customWidth="1"/>
    <col min="15106" max="15106" width="25" customWidth="1"/>
    <col min="15107" max="15107" width="12.7109375" customWidth="1"/>
    <col min="15109" max="15109" width="15" customWidth="1"/>
    <col min="15111" max="15111" width="15.140625" customWidth="1"/>
    <col min="15113" max="15113" width="14.7109375" customWidth="1"/>
    <col min="15115" max="15115" width="15.7109375" customWidth="1"/>
    <col min="15117" max="15117" width="13.42578125" customWidth="1"/>
    <col min="15118" max="15118" width="11.85546875" customWidth="1"/>
    <col min="15119" max="15119" width="12.42578125" customWidth="1"/>
    <col min="15120" max="15120" width="14.140625" customWidth="1"/>
    <col min="15121" max="15121" width="24" customWidth="1"/>
    <col min="15122" max="15122" width="13.28515625" customWidth="1"/>
    <col min="15123" max="15123" width="12" bestFit="1" customWidth="1"/>
    <col min="15361" max="15361" width="15" customWidth="1"/>
    <col min="15362" max="15362" width="25" customWidth="1"/>
    <col min="15363" max="15363" width="12.7109375" customWidth="1"/>
    <col min="15365" max="15365" width="15" customWidth="1"/>
    <col min="15367" max="15367" width="15.140625" customWidth="1"/>
    <col min="15369" max="15369" width="14.7109375" customWidth="1"/>
    <col min="15371" max="15371" width="15.7109375" customWidth="1"/>
    <col min="15373" max="15373" width="13.42578125" customWidth="1"/>
    <col min="15374" max="15374" width="11.85546875" customWidth="1"/>
    <col min="15375" max="15375" width="12.42578125" customWidth="1"/>
    <col min="15376" max="15376" width="14.140625" customWidth="1"/>
    <col min="15377" max="15377" width="24" customWidth="1"/>
    <col min="15378" max="15378" width="13.28515625" customWidth="1"/>
    <col min="15379" max="15379" width="12" bestFit="1" customWidth="1"/>
    <col min="15617" max="15617" width="15" customWidth="1"/>
    <col min="15618" max="15618" width="25" customWidth="1"/>
    <col min="15619" max="15619" width="12.7109375" customWidth="1"/>
    <col min="15621" max="15621" width="15" customWidth="1"/>
    <col min="15623" max="15623" width="15.140625" customWidth="1"/>
    <col min="15625" max="15625" width="14.7109375" customWidth="1"/>
    <col min="15627" max="15627" width="15.7109375" customWidth="1"/>
    <col min="15629" max="15629" width="13.42578125" customWidth="1"/>
    <col min="15630" max="15630" width="11.85546875" customWidth="1"/>
    <col min="15631" max="15631" width="12.42578125" customWidth="1"/>
    <col min="15632" max="15632" width="14.140625" customWidth="1"/>
    <col min="15633" max="15633" width="24" customWidth="1"/>
    <col min="15634" max="15634" width="13.28515625" customWidth="1"/>
    <col min="15635" max="15635" width="12" bestFit="1" customWidth="1"/>
    <col min="15873" max="15873" width="15" customWidth="1"/>
    <col min="15874" max="15874" width="25" customWidth="1"/>
    <col min="15875" max="15875" width="12.7109375" customWidth="1"/>
    <col min="15877" max="15877" width="15" customWidth="1"/>
    <col min="15879" max="15879" width="15.140625" customWidth="1"/>
    <col min="15881" max="15881" width="14.7109375" customWidth="1"/>
    <col min="15883" max="15883" width="15.7109375" customWidth="1"/>
    <col min="15885" max="15885" width="13.42578125" customWidth="1"/>
    <col min="15886" max="15886" width="11.85546875" customWidth="1"/>
    <col min="15887" max="15887" width="12.42578125" customWidth="1"/>
    <col min="15888" max="15888" width="14.140625" customWidth="1"/>
    <col min="15889" max="15889" width="24" customWidth="1"/>
    <col min="15890" max="15890" width="13.28515625" customWidth="1"/>
    <col min="15891" max="15891" width="12" bestFit="1" customWidth="1"/>
    <col min="16129" max="16129" width="15" customWidth="1"/>
    <col min="16130" max="16130" width="25" customWidth="1"/>
    <col min="16131" max="16131" width="12.7109375" customWidth="1"/>
    <col min="16133" max="16133" width="15" customWidth="1"/>
    <col min="16135" max="16135" width="15.140625" customWidth="1"/>
    <col min="16137" max="16137" width="14.7109375" customWidth="1"/>
    <col min="16139" max="16139" width="15.7109375" customWidth="1"/>
    <col min="16141" max="16141" width="13.42578125" customWidth="1"/>
    <col min="16142" max="16142" width="11.85546875" customWidth="1"/>
    <col min="16143" max="16143" width="12.42578125" customWidth="1"/>
    <col min="16144" max="16144" width="14.140625" customWidth="1"/>
    <col min="16145" max="16145" width="24" customWidth="1"/>
    <col min="16146" max="16146" width="13.28515625" customWidth="1"/>
    <col min="16147" max="16147" width="12" bestFit="1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2000</v>
      </c>
      <c r="B6">
        <v>0</v>
      </c>
      <c r="C6">
        <v>875.70938000000001</v>
      </c>
      <c r="D6">
        <v>0</v>
      </c>
      <c r="E6">
        <v>713.37545999999998</v>
      </c>
      <c r="F6">
        <v>0</v>
      </c>
      <c r="G6">
        <v>278.86571999999995</v>
      </c>
      <c r="H6">
        <v>0</v>
      </c>
      <c r="I6">
        <v>102.52360999999999</v>
      </c>
      <c r="J6">
        <v>4</v>
      </c>
      <c r="K6">
        <v>40.258959999999995</v>
      </c>
      <c r="L6">
        <v>0</v>
      </c>
      <c r="M6">
        <v>18.041267999999999</v>
      </c>
      <c r="N6">
        <v>0</v>
      </c>
      <c r="O6">
        <v>8.5106392</v>
      </c>
      <c r="P6" s="3">
        <f>(B6*C6)+(D6*E6)+(F6*G6)+(H6*I6)+(J6*K6)+(L6*M6)+(N6*O6)</f>
        <v>161.03583999999998</v>
      </c>
    </row>
    <row r="7" spans="1:19" x14ac:dyDescent="0.2">
      <c r="A7">
        <v>4000</v>
      </c>
      <c r="B7">
        <v>0</v>
      </c>
      <c r="C7">
        <v>875.70938000000001</v>
      </c>
      <c r="D7">
        <v>1</v>
      </c>
      <c r="E7">
        <v>713.37545999999998</v>
      </c>
      <c r="F7">
        <v>2</v>
      </c>
      <c r="G7">
        <v>278.86571999999995</v>
      </c>
      <c r="H7">
        <v>0</v>
      </c>
      <c r="I7">
        <v>102.52360999999999</v>
      </c>
      <c r="J7">
        <v>1</v>
      </c>
      <c r="K7">
        <v>40.258959999999995</v>
      </c>
      <c r="L7">
        <v>1</v>
      </c>
      <c r="M7">
        <v>18.041267999999999</v>
      </c>
      <c r="N7">
        <v>1</v>
      </c>
      <c r="O7">
        <v>8.5106392</v>
      </c>
      <c r="P7" s="3">
        <f t="shared" ref="P7:P21" si="0">(B7*C7)+(D7*E7)+(F7*G7)+(H7*I7)+(J7*K7)+(L7*M7)+(N7*O7)</f>
        <v>1337.9177671999996</v>
      </c>
    </row>
    <row r="8" spans="1:19" x14ac:dyDescent="0.2">
      <c r="A8">
        <v>6000</v>
      </c>
      <c r="B8">
        <v>0</v>
      </c>
      <c r="C8">
        <v>875.70938000000001</v>
      </c>
      <c r="D8">
        <v>0</v>
      </c>
      <c r="E8">
        <v>713.37545999999998</v>
      </c>
      <c r="F8">
        <v>1</v>
      </c>
      <c r="G8">
        <v>278.86571999999995</v>
      </c>
      <c r="H8">
        <v>3</v>
      </c>
      <c r="I8">
        <v>102.52360999999999</v>
      </c>
      <c r="J8">
        <v>1</v>
      </c>
      <c r="K8">
        <v>40.258959999999995</v>
      </c>
      <c r="L8">
        <v>3</v>
      </c>
      <c r="M8">
        <v>18.041267999999999</v>
      </c>
      <c r="N8">
        <v>0</v>
      </c>
      <c r="O8">
        <v>8.5106392</v>
      </c>
      <c r="P8" s="3">
        <f t="shared" si="0"/>
        <v>680.81931399999985</v>
      </c>
    </row>
    <row r="9" spans="1:19" x14ac:dyDescent="0.2">
      <c r="A9">
        <v>8000</v>
      </c>
      <c r="B9">
        <v>1</v>
      </c>
      <c r="C9">
        <v>875.70938000000001</v>
      </c>
      <c r="D9">
        <v>3</v>
      </c>
      <c r="E9">
        <v>713.37545999999998</v>
      </c>
      <c r="F9">
        <v>0</v>
      </c>
      <c r="G9">
        <v>278.86571999999995</v>
      </c>
      <c r="H9">
        <v>1</v>
      </c>
      <c r="I9">
        <v>102.52360999999999</v>
      </c>
      <c r="J9">
        <v>1</v>
      </c>
      <c r="K9">
        <v>40.258959999999995</v>
      </c>
      <c r="L9">
        <v>2</v>
      </c>
      <c r="M9">
        <v>18.041267999999999</v>
      </c>
      <c r="N9">
        <v>1</v>
      </c>
      <c r="O9">
        <v>8.5106392</v>
      </c>
      <c r="P9" s="3">
        <f t="shared" si="0"/>
        <v>3203.2115051999999</v>
      </c>
    </row>
    <row r="10" spans="1:19" x14ac:dyDescent="0.2">
      <c r="A10">
        <v>10000</v>
      </c>
      <c r="B10">
        <v>66</v>
      </c>
      <c r="C10">
        <v>875.70938000000001</v>
      </c>
      <c r="D10">
        <v>31</v>
      </c>
      <c r="E10">
        <v>713.37545999999998</v>
      </c>
      <c r="F10">
        <v>79</v>
      </c>
      <c r="G10">
        <v>278.86571999999995</v>
      </c>
      <c r="H10">
        <v>159</v>
      </c>
      <c r="I10">
        <v>102.52360999999999</v>
      </c>
      <c r="J10">
        <v>261</v>
      </c>
      <c r="K10">
        <v>40.258959999999995</v>
      </c>
      <c r="L10">
        <v>328</v>
      </c>
      <c r="M10">
        <v>18.041267999999999</v>
      </c>
      <c r="N10">
        <v>218</v>
      </c>
      <c r="O10">
        <v>8.5106392</v>
      </c>
      <c r="P10" s="3">
        <f t="shared" si="0"/>
        <v>136523.54801959998</v>
      </c>
    </row>
    <row r="11" spans="1:19" x14ac:dyDescent="0.2">
      <c r="A11">
        <v>20000</v>
      </c>
      <c r="B11">
        <v>22</v>
      </c>
      <c r="C11">
        <v>875.70938000000001</v>
      </c>
      <c r="D11">
        <v>51</v>
      </c>
      <c r="E11">
        <v>713.37545999999998</v>
      </c>
      <c r="F11">
        <v>140</v>
      </c>
      <c r="G11">
        <v>278.86571999999995</v>
      </c>
      <c r="H11">
        <v>404</v>
      </c>
      <c r="I11">
        <v>102.52360999999999</v>
      </c>
      <c r="J11">
        <v>658</v>
      </c>
      <c r="K11">
        <v>40.258959999999995</v>
      </c>
      <c r="L11">
        <v>600</v>
      </c>
      <c r="M11">
        <v>18.041267999999999</v>
      </c>
      <c r="N11">
        <v>393</v>
      </c>
      <c r="O11">
        <v>8.5106392</v>
      </c>
      <c r="P11" s="3">
        <f t="shared" si="0"/>
        <v>176768.33174559998</v>
      </c>
    </row>
    <row r="12" spans="1:19" x14ac:dyDescent="0.2">
      <c r="A12">
        <v>30000</v>
      </c>
      <c r="B12">
        <v>9</v>
      </c>
      <c r="C12">
        <v>875.70938000000001</v>
      </c>
      <c r="D12">
        <v>30</v>
      </c>
      <c r="E12">
        <v>713.37545999999998</v>
      </c>
      <c r="F12">
        <v>81</v>
      </c>
      <c r="G12">
        <v>278.86571999999995</v>
      </c>
      <c r="H12">
        <v>222</v>
      </c>
      <c r="I12">
        <v>102.52360999999999</v>
      </c>
      <c r="J12">
        <v>422</v>
      </c>
      <c r="K12">
        <v>40.258959999999995</v>
      </c>
      <c r="L12">
        <v>434</v>
      </c>
      <c r="M12">
        <v>18.041267999999999</v>
      </c>
      <c r="N12">
        <v>290</v>
      </c>
      <c r="O12">
        <v>8.5106392</v>
      </c>
      <c r="P12" s="3">
        <f t="shared" si="0"/>
        <v>101918.28975999999</v>
      </c>
    </row>
    <row r="13" spans="1:19" x14ac:dyDescent="0.2">
      <c r="A13">
        <v>40000</v>
      </c>
      <c r="B13">
        <v>8</v>
      </c>
      <c r="C13">
        <v>875.70938000000001</v>
      </c>
      <c r="D13">
        <v>13</v>
      </c>
      <c r="E13">
        <v>713.37545999999998</v>
      </c>
      <c r="F13">
        <v>46</v>
      </c>
      <c r="G13">
        <v>278.86571999999995</v>
      </c>
      <c r="H13">
        <v>154</v>
      </c>
      <c r="I13">
        <v>102.52360999999999</v>
      </c>
      <c r="J13">
        <v>281</v>
      </c>
      <c r="K13">
        <v>40.258959999999995</v>
      </c>
      <c r="L13">
        <v>306</v>
      </c>
      <c r="M13">
        <v>18.041267999999999</v>
      </c>
      <c r="N13">
        <v>201</v>
      </c>
      <c r="O13">
        <v>8.5106392</v>
      </c>
      <c r="P13" s="3">
        <f t="shared" si="0"/>
        <v>63440.049327200002</v>
      </c>
      <c r="Q13" s="3">
        <f t="shared" ref="Q13:Q19" si="1">Q14+P13</f>
        <v>251523.45646399999</v>
      </c>
      <c r="R13">
        <v>3633110</v>
      </c>
      <c r="S13" s="24">
        <f t="shared" ref="S13:S20" si="2">(Q13/R13)*100</f>
        <v>6.9230894870785624</v>
      </c>
    </row>
    <row r="14" spans="1:19" x14ac:dyDescent="0.2">
      <c r="A14">
        <v>50000</v>
      </c>
      <c r="B14">
        <v>7</v>
      </c>
      <c r="C14">
        <v>875.70938000000001</v>
      </c>
      <c r="D14">
        <v>9</v>
      </c>
      <c r="E14">
        <v>713.37545999999998</v>
      </c>
      <c r="F14">
        <v>37</v>
      </c>
      <c r="G14">
        <v>278.86571999999995</v>
      </c>
      <c r="H14">
        <v>86</v>
      </c>
      <c r="I14">
        <v>102.52360999999999</v>
      </c>
      <c r="J14">
        <v>205</v>
      </c>
      <c r="K14">
        <v>40.258959999999995</v>
      </c>
      <c r="L14">
        <v>249</v>
      </c>
      <c r="M14">
        <v>18.041267999999999</v>
      </c>
      <c r="N14">
        <v>126</v>
      </c>
      <c r="O14">
        <v>8.5106392</v>
      </c>
      <c r="P14" s="3">
        <f t="shared" si="0"/>
        <v>45503.109971199992</v>
      </c>
      <c r="Q14" s="3">
        <f t="shared" si="1"/>
        <v>188083.4071368</v>
      </c>
      <c r="R14">
        <v>3633110</v>
      </c>
      <c r="S14" s="24">
        <f t="shared" si="2"/>
        <v>5.176925750577329</v>
      </c>
    </row>
    <row r="15" spans="1:19" x14ac:dyDescent="0.2">
      <c r="A15">
        <v>60000</v>
      </c>
      <c r="B15">
        <v>7</v>
      </c>
      <c r="C15">
        <v>875.70938000000001</v>
      </c>
      <c r="D15">
        <v>9</v>
      </c>
      <c r="E15">
        <v>713.37545999999998</v>
      </c>
      <c r="F15">
        <v>52</v>
      </c>
      <c r="G15">
        <v>278.86571999999995</v>
      </c>
      <c r="H15">
        <v>109</v>
      </c>
      <c r="I15">
        <v>102.52360999999999</v>
      </c>
      <c r="J15">
        <v>230</v>
      </c>
      <c r="K15">
        <v>40.258959999999995</v>
      </c>
      <c r="L15">
        <v>297</v>
      </c>
      <c r="M15">
        <v>18.041267999999999</v>
      </c>
      <c r="N15">
        <v>201</v>
      </c>
      <c r="O15">
        <v>8.5106392</v>
      </c>
      <c r="P15" s="3">
        <f t="shared" si="0"/>
        <v>54554.891605199999</v>
      </c>
      <c r="Q15" s="3">
        <f t="shared" si="1"/>
        <v>142580.2971656</v>
      </c>
      <c r="R15">
        <v>3633110</v>
      </c>
      <c r="S15" s="24">
        <f t="shared" si="2"/>
        <v>3.9244695912207446</v>
      </c>
    </row>
    <row r="16" spans="1:19" x14ac:dyDescent="0.2">
      <c r="A16">
        <v>80000</v>
      </c>
      <c r="B16">
        <v>1</v>
      </c>
      <c r="C16">
        <v>875.70938000000001</v>
      </c>
      <c r="D16">
        <v>5</v>
      </c>
      <c r="E16">
        <v>713.37545999999998</v>
      </c>
      <c r="F16">
        <v>20</v>
      </c>
      <c r="G16">
        <v>278.86571999999995</v>
      </c>
      <c r="H16">
        <v>76</v>
      </c>
      <c r="I16">
        <v>102.52360999999999</v>
      </c>
      <c r="J16">
        <v>162</v>
      </c>
      <c r="K16">
        <v>40.258959999999995</v>
      </c>
      <c r="L16">
        <v>218</v>
      </c>
      <c r="M16">
        <v>18.041267999999999</v>
      </c>
      <c r="N16">
        <v>132</v>
      </c>
      <c r="O16">
        <v>8.5106392</v>
      </c>
      <c r="P16" s="3">
        <f t="shared" si="0"/>
        <v>29390.0477584</v>
      </c>
      <c r="Q16" s="3">
        <f t="shared" si="1"/>
        <v>88025.405560400002</v>
      </c>
      <c r="R16">
        <v>3633110</v>
      </c>
      <c r="S16" s="24">
        <f t="shared" si="2"/>
        <v>2.4228665127232594</v>
      </c>
    </row>
    <row r="17" spans="1:19" x14ac:dyDescent="0.2">
      <c r="A17">
        <v>100000</v>
      </c>
      <c r="B17">
        <v>2</v>
      </c>
      <c r="C17">
        <v>875.70938000000001</v>
      </c>
      <c r="D17">
        <v>3</v>
      </c>
      <c r="E17">
        <v>713.37545999999998</v>
      </c>
      <c r="F17">
        <v>10</v>
      </c>
      <c r="G17">
        <v>278.86571999999995</v>
      </c>
      <c r="H17">
        <v>48</v>
      </c>
      <c r="I17">
        <v>102.52360999999999</v>
      </c>
      <c r="J17">
        <v>90</v>
      </c>
      <c r="K17">
        <v>40.258959999999995</v>
      </c>
      <c r="L17">
        <v>107</v>
      </c>
      <c r="M17">
        <v>18.041267999999999</v>
      </c>
      <c r="N17">
        <v>80</v>
      </c>
      <c r="O17">
        <v>8.5106392</v>
      </c>
      <c r="P17" s="3">
        <f t="shared" si="0"/>
        <v>17835.908832000001</v>
      </c>
      <c r="Q17" s="3">
        <f t="shared" si="1"/>
        <v>58635.357801999999</v>
      </c>
      <c r="R17">
        <v>3633110</v>
      </c>
      <c r="S17" s="24">
        <f t="shared" si="2"/>
        <v>1.6139163912460674</v>
      </c>
    </row>
    <row r="18" spans="1:19" x14ac:dyDescent="0.2">
      <c r="A18">
        <v>120000</v>
      </c>
      <c r="B18">
        <v>0</v>
      </c>
      <c r="C18">
        <v>875.70938000000001</v>
      </c>
      <c r="D18">
        <v>1</v>
      </c>
      <c r="E18">
        <v>713.37545999999998</v>
      </c>
      <c r="F18">
        <v>12</v>
      </c>
      <c r="G18">
        <v>278.86571999999995</v>
      </c>
      <c r="H18">
        <v>34</v>
      </c>
      <c r="I18">
        <v>102.52360999999999</v>
      </c>
      <c r="J18">
        <v>66</v>
      </c>
      <c r="K18">
        <v>40.258959999999995</v>
      </c>
      <c r="L18">
        <v>72</v>
      </c>
      <c r="M18">
        <v>18.041267999999999</v>
      </c>
      <c r="N18">
        <v>42</v>
      </c>
      <c r="O18">
        <v>8.5106392</v>
      </c>
      <c r="P18" s="3">
        <f t="shared" si="0"/>
        <v>11859.076342399998</v>
      </c>
      <c r="Q18" s="3">
        <f t="shared" si="1"/>
        <v>40799.448969999998</v>
      </c>
      <c r="R18">
        <v>3633110</v>
      </c>
      <c r="S18" s="24">
        <f t="shared" si="2"/>
        <v>1.1229896416568723</v>
      </c>
    </row>
    <row r="19" spans="1:19" x14ac:dyDescent="0.2">
      <c r="A19">
        <v>140000</v>
      </c>
      <c r="B19">
        <v>1</v>
      </c>
      <c r="C19">
        <v>875.70938000000001</v>
      </c>
      <c r="D19">
        <v>2</v>
      </c>
      <c r="E19">
        <v>713.37545999999998</v>
      </c>
      <c r="F19">
        <v>11</v>
      </c>
      <c r="G19">
        <v>278.86571999999995</v>
      </c>
      <c r="H19">
        <v>35</v>
      </c>
      <c r="I19">
        <v>102.52360999999999</v>
      </c>
      <c r="J19">
        <v>107</v>
      </c>
      <c r="K19">
        <v>40.258959999999995</v>
      </c>
      <c r="L19">
        <v>107</v>
      </c>
      <c r="M19">
        <v>18.041267999999999</v>
      </c>
      <c r="N19">
        <v>81</v>
      </c>
      <c r="O19">
        <v>8.5106392</v>
      </c>
      <c r="P19" s="3">
        <f t="shared" si="0"/>
        <v>15885.7957412</v>
      </c>
      <c r="Q19" s="3">
        <f t="shared" si="1"/>
        <v>28940.372627599998</v>
      </c>
      <c r="R19">
        <v>3633110</v>
      </c>
      <c r="S19" s="24">
        <f>(Q19/R19)*100</f>
        <v>0.79657298093369044</v>
      </c>
    </row>
    <row r="20" spans="1:19" x14ac:dyDescent="0.2">
      <c r="A20" t="s">
        <v>10</v>
      </c>
      <c r="B20">
        <v>0</v>
      </c>
      <c r="C20">
        <v>875.70938000000001</v>
      </c>
      <c r="D20">
        <v>1</v>
      </c>
      <c r="E20">
        <v>713.37545999999998</v>
      </c>
      <c r="F20">
        <v>11</v>
      </c>
      <c r="G20">
        <v>278.86571999999995</v>
      </c>
      <c r="H20">
        <v>32</v>
      </c>
      <c r="I20">
        <v>102.52360999999999</v>
      </c>
      <c r="J20">
        <v>83</v>
      </c>
      <c r="K20">
        <v>40.258959999999995</v>
      </c>
      <c r="L20">
        <v>113</v>
      </c>
      <c r="M20">
        <v>18.041267999999999</v>
      </c>
      <c r="N20">
        <v>72</v>
      </c>
      <c r="O20">
        <v>8.5106392</v>
      </c>
      <c r="P20" s="3">
        <f t="shared" si="0"/>
        <v>13054.576886399998</v>
      </c>
      <c r="Q20" s="3">
        <f>P20</f>
        <v>13054.576886399998</v>
      </c>
      <c r="R20">
        <v>3633110</v>
      </c>
      <c r="S20" s="24">
        <f t="shared" si="2"/>
        <v>0.35932236806482598</v>
      </c>
    </row>
    <row r="21" spans="1:19" x14ac:dyDescent="0.2">
      <c r="A21" t="s">
        <v>3</v>
      </c>
      <c r="B21">
        <f t="shared" ref="B21:N21" si="3">SUM(B6:B20)</f>
        <v>124</v>
      </c>
      <c r="C21">
        <v>875.70938000000001</v>
      </c>
      <c r="D21">
        <f t="shared" si="3"/>
        <v>159</v>
      </c>
      <c r="E21">
        <v>713.37545999999998</v>
      </c>
      <c r="F21">
        <f t="shared" si="3"/>
        <v>502</v>
      </c>
      <c r="G21">
        <v>278.86571999999995</v>
      </c>
      <c r="H21">
        <f t="shared" si="3"/>
        <v>1363</v>
      </c>
      <c r="I21">
        <v>102.52360999999999</v>
      </c>
      <c r="J21">
        <f t="shared" si="3"/>
        <v>2572</v>
      </c>
      <c r="K21">
        <v>40.258959999999995</v>
      </c>
      <c r="L21">
        <f t="shared" si="3"/>
        <v>2837</v>
      </c>
      <c r="M21">
        <v>18.041267999999999</v>
      </c>
      <c r="N21">
        <f t="shared" si="3"/>
        <v>1838</v>
      </c>
      <c r="O21">
        <v>8.5106392</v>
      </c>
      <c r="P21" s="3">
        <f t="shared" si="0"/>
        <v>672116.61041559989</v>
      </c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10</v>
      </c>
      <c r="B32" s="14">
        <v>5.0000000000000001E-4</v>
      </c>
      <c r="C32" s="4" t="s">
        <v>86</v>
      </c>
      <c r="K32" s="4">
        <v>2.2320009268132397</v>
      </c>
      <c r="L32" s="4">
        <v>16062.653916623271</v>
      </c>
      <c r="M32" s="20">
        <f t="shared" ref="M32:M37" si="4">POWER(B32,1/K32)</f>
        <v>3.3192848435406097E-2</v>
      </c>
      <c r="N32" s="8">
        <f t="shared" ref="N32:N37" si="5">L32/M32</f>
        <v>483919.11733280425</v>
      </c>
      <c r="O32" s="5">
        <v>3633110</v>
      </c>
      <c r="P32" s="8">
        <f>O32*(K32/(1-K32))*POWER(L32,K32)*(-1)*POWER(N32,1-K32)</f>
        <v>1592592502.9660318</v>
      </c>
      <c r="Q32" s="9">
        <f t="shared" ref="Q32:Q37" si="6">B32*O32</f>
        <v>1816.5550000000001</v>
      </c>
      <c r="R32" s="8">
        <f t="shared" ref="R32:R37" si="7">P32/Q32</f>
        <v>876710.31318403885</v>
      </c>
      <c r="S32" s="4">
        <f t="shared" ref="S32:S37" si="8">P32*8.9395*1.23</f>
        <v>17511486236.725758</v>
      </c>
    </row>
    <row r="33" spans="1:19" x14ac:dyDescent="0.2">
      <c r="A33" t="s">
        <v>10</v>
      </c>
      <c r="B33" s="14">
        <v>1E-3</v>
      </c>
      <c r="C33" s="4" t="s">
        <v>86</v>
      </c>
      <c r="K33" s="4">
        <v>2.2320009268132397</v>
      </c>
      <c r="L33" s="4">
        <v>16062.653916623271</v>
      </c>
      <c r="M33" s="20">
        <f t="shared" si="4"/>
        <v>4.5280846444074929E-2</v>
      </c>
      <c r="N33" s="8">
        <f t="shared" si="5"/>
        <v>354733.9587934115</v>
      </c>
      <c r="O33" s="5">
        <f>R13</f>
        <v>3633110</v>
      </c>
      <c r="P33" s="8">
        <f>O33*(K33/(1-K33))*POWER(L33,K33)*(POWER(N32,1-K33)-POWER(N33,1-K33))+P32</f>
        <v>2334880450.4175854</v>
      </c>
      <c r="Q33" s="9">
        <f t="shared" si="6"/>
        <v>3633.11</v>
      </c>
      <c r="R33" s="8">
        <f t="shared" si="7"/>
        <v>642667.15029756469</v>
      </c>
      <c r="S33" s="4">
        <f t="shared" si="8"/>
        <v>25673376457.40485</v>
      </c>
    </row>
    <row r="34" spans="1:19" x14ac:dyDescent="0.2">
      <c r="A34" t="s">
        <v>10</v>
      </c>
      <c r="B34" s="14">
        <v>2.5000000000000001E-3</v>
      </c>
      <c r="C34" s="4" t="s">
        <v>86</v>
      </c>
      <c r="K34" s="4">
        <v>2.2320009268132397</v>
      </c>
      <c r="L34" s="4">
        <v>16062.653916623271</v>
      </c>
      <c r="M34" s="20">
        <f t="shared" si="4"/>
        <v>6.8265770587840086E-2</v>
      </c>
      <c r="N34" s="8">
        <f t="shared" si="5"/>
        <v>235295.87051177956</v>
      </c>
      <c r="O34" s="5">
        <f>R14</f>
        <v>3633110</v>
      </c>
      <c r="P34" s="8">
        <f>O34*(K34/(1-K34))*POWER(L34,K34)*(POWER(N33,1-K34)-POWER(N34,1-K34))+P33</f>
        <v>3871829257.5556087</v>
      </c>
      <c r="Q34" s="9">
        <f t="shared" si="6"/>
        <v>9082.7749999999996</v>
      </c>
      <c r="R34" s="8">
        <f t="shared" si="7"/>
        <v>426282.63471853139</v>
      </c>
      <c r="S34" s="4">
        <f t="shared" si="8"/>
        <v>42573027706.93959</v>
      </c>
    </row>
    <row r="35" spans="1:19" x14ac:dyDescent="0.2">
      <c r="A35" t="s">
        <v>70</v>
      </c>
      <c r="B35" s="14">
        <v>5.0000000000000001E-3</v>
      </c>
      <c r="C35">
        <f>S20/100</f>
        <v>3.59322368064826E-3</v>
      </c>
      <c r="D35">
        <f>S19/100</f>
        <v>7.9657298093369043E-3</v>
      </c>
      <c r="E35">
        <v>200000</v>
      </c>
      <c r="F35">
        <v>140000</v>
      </c>
      <c r="G35">
        <f>D35/C35</f>
        <v>2.2168755739413899</v>
      </c>
      <c r="H35">
        <f>LN(G35)</f>
        <v>0.79609880544231115</v>
      </c>
      <c r="I35">
        <f>E35/F35</f>
        <v>1.4285714285714286</v>
      </c>
      <c r="J35">
        <f>LN(I35)</f>
        <v>0.35667494393873239</v>
      </c>
      <c r="K35" s="4">
        <f>H35/J35</f>
        <v>2.2320009268132401</v>
      </c>
      <c r="L35" s="4">
        <f>F35*POWER(D35,1/K35)</f>
        <v>16062.653916623271</v>
      </c>
      <c r="M35" s="20">
        <f t="shared" si="4"/>
        <v>9.312644202228787E-2</v>
      </c>
      <c r="N35" s="8">
        <f t="shared" si="5"/>
        <v>172482.20341950795</v>
      </c>
      <c r="O35" s="5">
        <f>R15</f>
        <v>3633110</v>
      </c>
      <c r="P35" s="8">
        <f>O35*(K35/(1-K35))*POWER(L35,K35)*(POWER(N34,1-K35)-POWER(N35,1-K35))+P34</f>
        <v>5676441666.0161934</v>
      </c>
      <c r="Q35" s="9">
        <f t="shared" si="6"/>
        <v>18165.55</v>
      </c>
      <c r="R35" s="8">
        <f t="shared" si="7"/>
        <v>312483.88658841565</v>
      </c>
      <c r="S35" s="4">
        <f t="shared" si="8"/>
        <v>62415796836.222664</v>
      </c>
    </row>
    <row r="36" spans="1:19" x14ac:dyDescent="0.2">
      <c r="A36" t="s">
        <v>73</v>
      </c>
      <c r="B36" s="14">
        <v>0.01</v>
      </c>
      <c r="C36">
        <f>S19/100</f>
        <v>7.9657298093369043E-3</v>
      </c>
      <c r="D36">
        <f>S18/100</f>
        <v>1.1229896416568724E-2</v>
      </c>
      <c r="E36">
        <v>140000</v>
      </c>
      <c r="F36">
        <v>120000</v>
      </c>
      <c r="G36">
        <f>D36/C36</f>
        <v>1.4097762145291166</v>
      </c>
      <c r="H36">
        <f>LN(G36)</f>
        <v>0.34343097869390277</v>
      </c>
      <c r="I36">
        <f>E36/F36</f>
        <v>1.1666666666666667</v>
      </c>
      <c r="J36">
        <f>LN(I36)</f>
        <v>0.15415067982725836</v>
      </c>
      <c r="K36" s="4">
        <f>H36/J36</f>
        <v>2.2278914311552334</v>
      </c>
      <c r="L36" s="4">
        <f>F36*POWER(D36,1/K36)</f>
        <v>15998.6315177745</v>
      </c>
      <c r="M36" s="20">
        <f t="shared" si="4"/>
        <v>0.12655817017872201</v>
      </c>
      <c r="N36" s="8">
        <f t="shared" si="5"/>
        <v>126413.26510316692</v>
      </c>
      <c r="O36" s="5">
        <f>R16</f>
        <v>3633110</v>
      </c>
      <c r="P36" s="8">
        <f>O36*(K36/(1-K36))*POWER(L36,K36)*(POWER(N35,1-K36)-POWER(N36,1-K36))+P35</f>
        <v>8319685975.8587399</v>
      </c>
      <c r="Q36" s="9">
        <f t="shared" si="6"/>
        <v>36331.1</v>
      </c>
      <c r="R36" s="8">
        <f t="shared" si="7"/>
        <v>228996.25873862175</v>
      </c>
      <c r="S36" s="4">
        <f t="shared" si="8"/>
        <v>91479814320.862732</v>
      </c>
    </row>
    <row r="37" spans="1:19" x14ac:dyDescent="0.2">
      <c r="A37" t="s">
        <v>74</v>
      </c>
      <c r="B37" s="14">
        <v>0.02</v>
      </c>
      <c r="C37">
        <f>S17/100</f>
        <v>1.6139163912460674E-2</v>
      </c>
      <c r="D37">
        <f>S16/100</f>
        <v>2.4228665127232592E-2</v>
      </c>
      <c r="E37">
        <v>100000</v>
      </c>
      <c r="F37">
        <v>80000</v>
      </c>
      <c r="G37">
        <f>D37/C37</f>
        <v>1.5012342187395595</v>
      </c>
      <c r="H37">
        <f>LN(G37)</f>
        <v>0.40628758227657713</v>
      </c>
      <c r="I37">
        <f>E37/F37</f>
        <v>1.25</v>
      </c>
      <c r="J37">
        <f>LN(I37)</f>
        <v>0.22314355131420976</v>
      </c>
      <c r="K37" s="4">
        <f>H37/J37</f>
        <v>1.820745344795921</v>
      </c>
      <c r="L37" s="4">
        <f>F37*POWER(D37,1/K37)</f>
        <v>10368.652985518829</v>
      </c>
      <c r="M37" s="20">
        <f t="shared" si="4"/>
        <v>0.11664930013255316</v>
      </c>
      <c r="N37" s="8">
        <f t="shared" si="5"/>
        <v>88887.399870693815</v>
      </c>
      <c r="O37" s="5">
        <f>R17</f>
        <v>3633110</v>
      </c>
      <c r="P37" s="8">
        <f>O37*(K37/(1-K37))*POWER(L37,K37)*(POWER(N36,1-K37)-POWER(N37,1-K37))+P36</f>
        <v>11916462483.451963</v>
      </c>
      <c r="Q37" s="9">
        <f t="shared" si="6"/>
        <v>72662.2</v>
      </c>
      <c r="R37" s="8">
        <f t="shared" si="7"/>
        <v>163998.096444258</v>
      </c>
      <c r="S37" s="4">
        <f t="shared" si="8"/>
        <v>131028476136.10716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2000</v>
      </c>
      <c r="B50">
        <v>0</v>
      </c>
      <c r="C50">
        <v>2256.1587999999997</v>
      </c>
      <c r="D50">
        <v>0</v>
      </c>
      <c r="E50">
        <v>1190.7525000000001</v>
      </c>
      <c r="F50">
        <v>0</v>
      </c>
      <c r="G50">
        <v>458.00019999999995</v>
      </c>
      <c r="H50">
        <v>0</v>
      </c>
      <c r="I50">
        <v>193.64085999999998</v>
      </c>
      <c r="J50">
        <v>0</v>
      </c>
      <c r="K50">
        <v>80.445427999999993</v>
      </c>
      <c r="L50">
        <v>1</v>
      </c>
      <c r="M50">
        <v>29.545445999999998</v>
      </c>
      <c r="N50">
        <v>0</v>
      </c>
      <c r="O50">
        <v>10.3912592</v>
      </c>
      <c r="P50" s="3">
        <f>(B50*C50)+(D50*E50)+(F50*G50)+(H50*I50)+(J50*K50)+(L50*M50)+(N50*O50)</f>
        <v>29.545445999999998</v>
      </c>
      <c r="Q50" s="3"/>
    </row>
    <row r="51" spans="1:19" x14ac:dyDescent="0.2">
      <c r="A51">
        <v>4000</v>
      </c>
      <c r="B51">
        <v>0</v>
      </c>
      <c r="C51">
        <v>2256.1587999999997</v>
      </c>
      <c r="D51">
        <v>1</v>
      </c>
      <c r="E51">
        <v>1190.7525000000001</v>
      </c>
      <c r="F51">
        <v>0</v>
      </c>
      <c r="G51">
        <v>458.00019999999995</v>
      </c>
      <c r="H51">
        <v>0</v>
      </c>
      <c r="I51">
        <v>193.64085999999998</v>
      </c>
      <c r="J51">
        <v>2</v>
      </c>
      <c r="K51">
        <v>80.445427999999993</v>
      </c>
      <c r="L51">
        <v>0</v>
      </c>
      <c r="M51">
        <v>29.545445999999998</v>
      </c>
      <c r="N51">
        <v>2</v>
      </c>
      <c r="O51">
        <v>10.3912592</v>
      </c>
      <c r="P51" s="3">
        <f t="shared" ref="P51:P65" si="9">(B51*C51)+(D51*E51)+(F51*G51)+(H51*I51)+(J51*K51)+(L51*M51)+(N51*O51)</f>
        <v>1372.4258744000001</v>
      </c>
      <c r="Q51" s="3"/>
    </row>
    <row r="52" spans="1:19" x14ac:dyDescent="0.2">
      <c r="A52">
        <v>6000</v>
      </c>
      <c r="B52">
        <v>0</v>
      </c>
      <c r="C52">
        <v>2256.1587999999997</v>
      </c>
      <c r="D52">
        <v>0</v>
      </c>
      <c r="E52">
        <v>1190.7525000000001</v>
      </c>
      <c r="F52">
        <v>1</v>
      </c>
      <c r="G52">
        <v>458.00019999999995</v>
      </c>
      <c r="H52">
        <v>0</v>
      </c>
      <c r="I52">
        <v>193.64085999999998</v>
      </c>
      <c r="J52">
        <v>0</v>
      </c>
      <c r="K52">
        <v>80.445427999999993</v>
      </c>
      <c r="L52">
        <v>2</v>
      </c>
      <c r="M52">
        <v>29.545445999999998</v>
      </c>
      <c r="N52">
        <v>2</v>
      </c>
      <c r="O52">
        <v>10.3912592</v>
      </c>
      <c r="P52" s="3">
        <f t="shared" si="9"/>
        <v>537.87361039999985</v>
      </c>
      <c r="Q52" s="3"/>
    </row>
    <row r="53" spans="1:19" x14ac:dyDescent="0.2">
      <c r="A53">
        <v>8000</v>
      </c>
      <c r="B53">
        <v>0</v>
      </c>
      <c r="C53">
        <v>2256.1587999999997</v>
      </c>
      <c r="D53">
        <v>0</v>
      </c>
      <c r="E53">
        <v>1190.7525000000001</v>
      </c>
      <c r="F53">
        <v>1</v>
      </c>
      <c r="G53">
        <v>458.00019999999995</v>
      </c>
      <c r="H53">
        <v>1</v>
      </c>
      <c r="I53">
        <v>193.64085999999998</v>
      </c>
      <c r="J53">
        <v>0</v>
      </c>
      <c r="K53">
        <v>80.445427999999993</v>
      </c>
      <c r="L53">
        <v>3</v>
      </c>
      <c r="M53">
        <v>29.545445999999998</v>
      </c>
      <c r="N53">
        <v>0</v>
      </c>
      <c r="O53">
        <v>10.3912592</v>
      </c>
      <c r="P53" s="3">
        <f t="shared" si="9"/>
        <v>740.27739799999995</v>
      </c>
      <c r="Q53" s="3"/>
    </row>
    <row r="54" spans="1:19" x14ac:dyDescent="0.2">
      <c r="A54">
        <v>10000</v>
      </c>
      <c r="B54">
        <v>3</v>
      </c>
      <c r="C54">
        <v>2256.1587999999997</v>
      </c>
      <c r="D54">
        <v>12</v>
      </c>
      <c r="E54">
        <v>1190.7525000000001</v>
      </c>
      <c r="F54">
        <v>25</v>
      </c>
      <c r="G54">
        <v>458.00019999999995</v>
      </c>
      <c r="H54">
        <v>89</v>
      </c>
      <c r="I54">
        <v>193.64085999999998</v>
      </c>
      <c r="J54">
        <v>197</v>
      </c>
      <c r="K54">
        <v>80.445427999999993</v>
      </c>
      <c r="L54">
        <v>377</v>
      </c>
      <c r="M54">
        <v>29.545445999999998</v>
      </c>
      <c r="N54">
        <v>391</v>
      </c>
      <c r="O54">
        <v>10.3912592</v>
      </c>
      <c r="P54" s="3">
        <f t="shared" si="9"/>
        <v>80790.912745199996</v>
      </c>
      <c r="Q54" s="3">
        <f t="shared" ref="Q54:Q62" si="10">Q55+P54</f>
        <v>338400.4230824</v>
      </c>
      <c r="R54">
        <v>3661495</v>
      </c>
      <c r="S54">
        <f>Q54/R54*100</f>
        <v>9.2421380633429795</v>
      </c>
    </row>
    <row r="55" spans="1:19" x14ac:dyDescent="0.2">
      <c r="A55">
        <v>20000</v>
      </c>
      <c r="B55">
        <v>2</v>
      </c>
      <c r="C55">
        <v>2256.1587999999997</v>
      </c>
      <c r="D55">
        <v>10</v>
      </c>
      <c r="E55">
        <v>1190.7525000000001</v>
      </c>
      <c r="F55">
        <v>45</v>
      </c>
      <c r="G55">
        <v>458.00019999999995</v>
      </c>
      <c r="H55">
        <v>110</v>
      </c>
      <c r="I55">
        <v>193.64085999999998</v>
      </c>
      <c r="J55">
        <v>233</v>
      </c>
      <c r="K55">
        <v>80.445427999999993</v>
      </c>
      <c r="L55">
        <v>403</v>
      </c>
      <c r="M55">
        <v>29.545445999999998</v>
      </c>
      <c r="N55">
        <v>430</v>
      </c>
      <c r="O55">
        <v>10.3912592</v>
      </c>
      <c r="P55" s="3">
        <f t="shared" si="9"/>
        <v>93449.187118000002</v>
      </c>
      <c r="Q55" s="3">
        <f t="shared" si="10"/>
        <v>257609.51033719999</v>
      </c>
      <c r="R55">
        <v>3661495</v>
      </c>
      <c r="S55">
        <f>Q55/R55*100</f>
        <v>7.035637364988891</v>
      </c>
    </row>
    <row r="56" spans="1:19" x14ac:dyDescent="0.2">
      <c r="A56">
        <v>30000</v>
      </c>
      <c r="B56">
        <v>4</v>
      </c>
      <c r="C56">
        <v>2256.1587999999997</v>
      </c>
      <c r="D56">
        <v>3</v>
      </c>
      <c r="E56">
        <v>1190.7525000000001</v>
      </c>
      <c r="F56">
        <v>31</v>
      </c>
      <c r="G56">
        <v>458.00019999999995</v>
      </c>
      <c r="H56">
        <v>60</v>
      </c>
      <c r="I56">
        <v>193.64085999999998</v>
      </c>
      <c r="J56">
        <v>144</v>
      </c>
      <c r="K56">
        <v>80.445427999999993</v>
      </c>
      <c r="L56">
        <v>278</v>
      </c>
      <c r="M56">
        <v>29.545445999999998</v>
      </c>
      <c r="N56">
        <v>265</v>
      </c>
      <c r="O56">
        <v>10.3912592</v>
      </c>
      <c r="P56" s="3">
        <f t="shared" si="9"/>
        <v>60964.809807999991</v>
      </c>
      <c r="Q56" s="3">
        <f t="shared" si="10"/>
        <v>164160.32321919999</v>
      </c>
      <c r="R56">
        <v>3661495</v>
      </c>
      <c r="S56">
        <f>Q56/R56*100</f>
        <v>4.4834233890582942</v>
      </c>
    </row>
    <row r="57" spans="1:19" x14ac:dyDescent="0.2">
      <c r="A57">
        <v>40000</v>
      </c>
      <c r="B57">
        <v>0</v>
      </c>
      <c r="C57">
        <v>2256.1587999999997</v>
      </c>
      <c r="D57">
        <v>3</v>
      </c>
      <c r="E57">
        <v>1190.7525000000001</v>
      </c>
      <c r="F57">
        <v>16</v>
      </c>
      <c r="G57">
        <v>458.00019999999995</v>
      </c>
      <c r="H57">
        <v>39</v>
      </c>
      <c r="I57">
        <v>193.64085999999998</v>
      </c>
      <c r="J57">
        <v>77</v>
      </c>
      <c r="K57">
        <v>80.445427999999993</v>
      </c>
      <c r="L57">
        <v>160</v>
      </c>
      <c r="M57">
        <v>29.545445999999998</v>
      </c>
      <c r="N57">
        <v>167</v>
      </c>
      <c r="O57">
        <v>10.3912592</v>
      </c>
      <c r="P57" s="3">
        <f t="shared" si="9"/>
        <v>31109.163842399998</v>
      </c>
      <c r="Q57" s="3">
        <f t="shared" si="10"/>
        <v>103195.51341119999</v>
      </c>
      <c r="R57">
        <v>3661495</v>
      </c>
      <c r="S57">
        <f t="shared" ref="S57:S63" si="11">Q57/R57*100</f>
        <v>2.8183983157480754</v>
      </c>
    </row>
    <row r="58" spans="1:19" x14ac:dyDescent="0.2">
      <c r="A58">
        <v>50000</v>
      </c>
      <c r="B58">
        <v>0</v>
      </c>
      <c r="C58">
        <v>2256.1587999999997</v>
      </c>
      <c r="D58">
        <v>0</v>
      </c>
      <c r="E58">
        <v>1190.7525000000001</v>
      </c>
      <c r="F58">
        <v>7</v>
      </c>
      <c r="G58">
        <v>458.00019999999995</v>
      </c>
      <c r="H58">
        <v>23</v>
      </c>
      <c r="I58">
        <v>193.64085999999998</v>
      </c>
      <c r="J58">
        <v>52</v>
      </c>
      <c r="K58">
        <v>80.445427999999993</v>
      </c>
      <c r="L58">
        <v>84</v>
      </c>
      <c r="M58">
        <v>29.545445999999998</v>
      </c>
      <c r="N58">
        <v>109</v>
      </c>
      <c r="O58">
        <v>10.3912592</v>
      </c>
      <c r="P58" s="3">
        <f t="shared" si="9"/>
        <v>15457.368152799998</v>
      </c>
      <c r="Q58" s="3">
        <f t="shared" si="10"/>
        <v>72086.349568799997</v>
      </c>
      <c r="R58">
        <v>3661495</v>
      </c>
      <c r="S58">
        <f t="shared" si="11"/>
        <v>1.9687682099470298</v>
      </c>
    </row>
    <row r="59" spans="1:19" x14ac:dyDescent="0.2">
      <c r="A59">
        <v>60000</v>
      </c>
      <c r="B59">
        <v>0</v>
      </c>
      <c r="C59">
        <v>2256.1587999999997</v>
      </c>
      <c r="D59">
        <v>3</v>
      </c>
      <c r="E59">
        <v>1190.7525000000001</v>
      </c>
      <c r="F59">
        <v>6</v>
      </c>
      <c r="G59">
        <v>458.00019999999995</v>
      </c>
      <c r="H59">
        <v>21</v>
      </c>
      <c r="I59">
        <v>193.64085999999998</v>
      </c>
      <c r="J59">
        <v>63</v>
      </c>
      <c r="K59">
        <v>80.445427999999993</v>
      </c>
      <c r="L59">
        <v>124</v>
      </c>
      <c r="M59">
        <v>29.545445999999998</v>
      </c>
      <c r="N59">
        <v>128</v>
      </c>
      <c r="O59">
        <v>10.3912592</v>
      </c>
      <c r="P59" s="3">
        <f t="shared" si="9"/>
        <v>20448.4952056</v>
      </c>
      <c r="Q59" s="3">
        <f t="shared" si="10"/>
        <v>56628.981415999995</v>
      </c>
      <c r="R59">
        <v>3661495</v>
      </c>
      <c r="S59">
        <f t="shared" si="11"/>
        <v>1.546608186437507</v>
      </c>
    </row>
    <row r="60" spans="1:19" x14ac:dyDescent="0.2">
      <c r="A60">
        <v>80000</v>
      </c>
      <c r="B60">
        <v>0</v>
      </c>
      <c r="C60">
        <v>2256.1587999999997</v>
      </c>
      <c r="D60">
        <v>0</v>
      </c>
      <c r="E60">
        <v>1190.7525000000001</v>
      </c>
      <c r="F60">
        <v>4</v>
      </c>
      <c r="G60">
        <v>458.00019999999995</v>
      </c>
      <c r="H60">
        <v>13</v>
      </c>
      <c r="I60">
        <v>193.64085999999998</v>
      </c>
      <c r="J60">
        <v>38</v>
      </c>
      <c r="K60">
        <v>80.445427999999993</v>
      </c>
      <c r="L60">
        <v>66</v>
      </c>
      <c r="M60">
        <v>29.545445999999998</v>
      </c>
      <c r="N60">
        <v>90</v>
      </c>
      <c r="O60">
        <v>10.3912592</v>
      </c>
      <c r="P60" s="3">
        <f t="shared" si="9"/>
        <v>10291.471007999999</v>
      </c>
      <c r="Q60" s="3">
        <f t="shared" si="10"/>
        <v>36180.486210399999</v>
      </c>
      <c r="R60">
        <v>3661495</v>
      </c>
      <c r="S60">
        <f t="shared" si="11"/>
        <v>0.98813425145739642</v>
      </c>
    </row>
    <row r="61" spans="1:19" x14ac:dyDescent="0.2">
      <c r="A61">
        <v>100000</v>
      </c>
      <c r="B61">
        <v>0</v>
      </c>
      <c r="C61">
        <v>2256.1587999999997</v>
      </c>
      <c r="D61">
        <v>1</v>
      </c>
      <c r="E61">
        <v>1190.7525000000001</v>
      </c>
      <c r="F61">
        <v>1</v>
      </c>
      <c r="G61">
        <v>458.00019999999995</v>
      </c>
      <c r="H61">
        <v>3</v>
      </c>
      <c r="I61">
        <v>193.64085999999998</v>
      </c>
      <c r="J61">
        <v>21</v>
      </c>
      <c r="K61">
        <v>80.445427999999993</v>
      </c>
      <c r="L61">
        <v>37</v>
      </c>
      <c r="M61">
        <v>29.545445999999998</v>
      </c>
      <c r="N61">
        <v>48</v>
      </c>
      <c r="O61">
        <v>10.3912592</v>
      </c>
      <c r="P61" s="3">
        <f t="shared" si="9"/>
        <v>5510.9912115999996</v>
      </c>
      <c r="Q61" s="3">
        <f t="shared" si="10"/>
        <v>25889.015202399998</v>
      </c>
      <c r="R61">
        <v>3661495</v>
      </c>
      <c r="S61">
        <f t="shared" si="11"/>
        <v>0.7070613288397225</v>
      </c>
    </row>
    <row r="62" spans="1:19" x14ac:dyDescent="0.2">
      <c r="A62">
        <v>120000</v>
      </c>
      <c r="B62">
        <v>0</v>
      </c>
      <c r="C62">
        <v>2256.1587999999997</v>
      </c>
      <c r="D62">
        <v>0</v>
      </c>
      <c r="E62">
        <v>1190.7525000000001</v>
      </c>
      <c r="F62">
        <v>2</v>
      </c>
      <c r="G62">
        <v>458.00019999999995</v>
      </c>
      <c r="H62">
        <v>7</v>
      </c>
      <c r="I62">
        <v>193.64085999999998</v>
      </c>
      <c r="J62">
        <v>9</v>
      </c>
      <c r="K62">
        <v>80.445427999999993</v>
      </c>
      <c r="L62">
        <v>26</v>
      </c>
      <c r="M62">
        <v>29.545445999999998</v>
      </c>
      <c r="N62">
        <v>30</v>
      </c>
      <c r="O62">
        <v>10.3912592</v>
      </c>
      <c r="P62" s="3">
        <f t="shared" si="9"/>
        <v>4075.4146439999995</v>
      </c>
      <c r="Q62" s="3">
        <f t="shared" si="10"/>
        <v>20378.0239908</v>
      </c>
      <c r="R62">
        <v>3661495</v>
      </c>
      <c r="S62">
        <f t="shared" si="11"/>
        <v>0.55654927811727173</v>
      </c>
    </row>
    <row r="63" spans="1:19" x14ac:dyDescent="0.2">
      <c r="A63">
        <v>140000</v>
      </c>
      <c r="B63">
        <v>0</v>
      </c>
      <c r="C63">
        <v>2256.1587999999997</v>
      </c>
      <c r="D63">
        <v>3</v>
      </c>
      <c r="E63">
        <v>1190.7525000000001</v>
      </c>
      <c r="F63">
        <v>3</v>
      </c>
      <c r="G63">
        <v>458.00019999999995</v>
      </c>
      <c r="H63">
        <v>7</v>
      </c>
      <c r="I63">
        <v>193.64085999999998</v>
      </c>
      <c r="J63">
        <v>17</v>
      </c>
      <c r="K63">
        <v>80.445427999999993</v>
      </c>
      <c r="L63">
        <v>29</v>
      </c>
      <c r="M63">
        <v>29.545445999999998</v>
      </c>
      <c r="N63">
        <v>46</v>
      </c>
      <c r="O63">
        <v>10.3912592</v>
      </c>
      <c r="P63" s="3">
        <f t="shared" si="9"/>
        <v>9004.1322531999995</v>
      </c>
      <c r="Q63" s="3">
        <f>P64+P63</f>
        <v>16302.6093468</v>
      </c>
      <c r="R63">
        <v>3661495</v>
      </c>
      <c r="S63">
        <f t="shared" si="11"/>
        <v>0.44524461584134351</v>
      </c>
    </row>
    <row r="64" spans="1:19" x14ac:dyDescent="0.2">
      <c r="A64" t="s">
        <v>10</v>
      </c>
      <c r="B64">
        <v>0</v>
      </c>
      <c r="C64">
        <v>2256.1587999999997</v>
      </c>
      <c r="D64">
        <v>2</v>
      </c>
      <c r="E64">
        <v>1190.7525000000001</v>
      </c>
      <c r="F64">
        <v>3</v>
      </c>
      <c r="G64">
        <v>458.00019999999995</v>
      </c>
      <c r="H64">
        <v>7</v>
      </c>
      <c r="I64">
        <v>193.64085999999998</v>
      </c>
      <c r="J64">
        <v>12</v>
      </c>
      <c r="K64">
        <v>80.445427999999993</v>
      </c>
      <c r="L64">
        <v>28</v>
      </c>
      <c r="M64">
        <v>29.545445999999998</v>
      </c>
      <c r="N64">
        <v>38</v>
      </c>
      <c r="O64">
        <v>10.3912592</v>
      </c>
      <c r="P64" s="3">
        <f t="shared" si="9"/>
        <v>7298.4770935999995</v>
      </c>
      <c r="Q64" s="3">
        <f>P64</f>
        <v>7298.4770935999995</v>
      </c>
      <c r="R64">
        <v>3661495</v>
      </c>
      <c r="S64">
        <f>Q64/R64*100</f>
        <v>0.19933052192069087</v>
      </c>
    </row>
    <row r="65" spans="1:19" x14ac:dyDescent="0.2">
      <c r="A65" t="s">
        <v>3</v>
      </c>
      <c r="B65">
        <v>9</v>
      </c>
      <c r="C65">
        <v>2256.1587999999997</v>
      </c>
      <c r="D65">
        <v>38</v>
      </c>
      <c r="E65">
        <v>1190.7525000000001</v>
      </c>
      <c r="F65">
        <v>145</v>
      </c>
      <c r="G65">
        <v>458.00019999999995</v>
      </c>
      <c r="H65">
        <v>380</v>
      </c>
      <c r="I65">
        <v>193.64085999999998</v>
      </c>
      <c r="J65">
        <v>865</v>
      </c>
      <c r="K65">
        <v>80.445427999999993</v>
      </c>
      <c r="L65">
        <v>1618</v>
      </c>
      <c r="M65">
        <v>29.545445999999998</v>
      </c>
      <c r="N65">
        <v>1746</v>
      </c>
      <c r="O65">
        <v>10.3912592</v>
      </c>
      <c r="P65" s="3">
        <f t="shared" si="9"/>
        <v>341080.54541120003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10</v>
      </c>
      <c r="B73" s="14">
        <v>5.0000000000000001E-4</v>
      </c>
      <c r="C73" s="4" t="s">
        <v>69</v>
      </c>
      <c r="D73" s="5"/>
      <c r="E73" s="5"/>
      <c r="F73" s="5"/>
      <c r="G73" s="5"/>
      <c r="H73" s="5"/>
      <c r="I73" s="5"/>
      <c r="J73" s="5"/>
      <c r="K73" s="4">
        <v>2.2531985557388001</v>
      </c>
      <c r="L73" s="4">
        <v>12663.224864636026</v>
      </c>
      <c r="M73" s="7">
        <f t="shared" ref="M73:M78" si="12">POWER(B73,1/K73)</f>
        <v>3.4273482268600719E-2</v>
      </c>
      <c r="N73" s="8">
        <f t="shared" ref="N73:N78" si="13">L73/M73</f>
        <v>369475.87541279115</v>
      </c>
      <c r="O73">
        <f t="shared" ref="O73:O78" si="14">R54</f>
        <v>3661495</v>
      </c>
      <c r="P73" s="8">
        <f>O73*(K73/(1-K73))*POWER(L73,K73)*(-1)*POWER(N73,1-K73)</f>
        <v>1216169520.6722064</v>
      </c>
      <c r="Q73" s="9">
        <f t="shared" ref="Q73:Q78" si="15">B73*O73</f>
        <v>1830.7474999999999</v>
      </c>
      <c r="R73" s="4">
        <f t="shared" ref="R73:R78" si="16">P73/Q73</f>
        <v>664302.16109660477</v>
      </c>
      <c r="S73" s="3">
        <f t="shared" ref="S73:S78" si="17">8.9395*P73*1.23</f>
        <v>13372495338.960505</v>
      </c>
    </row>
    <row r="74" spans="1:19" x14ac:dyDescent="0.2">
      <c r="A74" t="s">
        <v>10</v>
      </c>
      <c r="B74" s="14">
        <v>1E-3</v>
      </c>
      <c r="C74" s="4" t="s">
        <v>69</v>
      </c>
      <c r="D74" s="5"/>
      <c r="E74" s="5"/>
      <c r="F74" s="5"/>
      <c r="G74" s="5"/>
      <c r="H74" s="5"/>
      <c r="I74" s="5"/>
      <c r="J74" s="5"/>
      <c r="K74" s="4">
        <v>2.2531985557388001</v>
      </c>
      <c r="L74" s="4">
        <v>12663.224864636026</v>
      </c>
      <c r="M74" s="7">
        <f t="shared" si="12"/>
        <v>4.6618620319690315E-2</v>
      </c>
      <c r="N74" s="8">
        <f t="shared" si="13"/>
        <v>271634.48377058591</v>
      </c>
      <c r="O74">
        <f t="shared" si="14"/>
        <v>3661495</v>
      </c>
      <c r="P74" s="8">
        <f>O74*(K74/(1-K74))*POWER(L74,K74)*(POWER(N73,1-K74)-POWER(N74,1-K74))+P73</f>
        <v>1788228146.4587286</v>
      </c>
      <c r="Q74" s="9">
        <f t="shared" si="15"/>
        <v>3661.4949999999999</v>
      </c>
      <c r="R74" s="4">
        <f t="shared" si="16"/>
        <v>488387.43367360288</v>
      </c>
      <c r="S74" s="3">
        <f t="shared" si="17"/>
        <v>19662614583.7794</v>
      </c>
    </row>
    <row r="75" spans="1:19" x14ac:dyDescent="0.2">
      <c r="A75" t="s">
        <v>70</v>
      </c>
      <c r="B75" s="14">
        <v>2.5000000000000001E-3</v>
      </c>
      <c r="C75" s="5">
        <f>S64/100</f>
        <v>1.9933052192069086E-3</v>
      </c>
      <c r="D75" s="5">
        <f>S63/100</f>
        <v>4.4524461584134348E-3</v>
      </c>
      <c r="E75" s="5">
        <v>200000</v>
      </c>
      <c r="F75" s="5">
        <v>140000</v>
      </c>
      <c r="G75" s="5">
        <f>D75/C75</f>
        <v>2.2337001456229384</v>
      </c>
      <c r="H75" s="5">
        <f>LN(G75)</f>
        <v>0.80365946855096926</v>
      </c>
      <c r="I75" s="5">
        <f>E75/F75</f>
        <v>1.4285714285714286</v>
      </c>
      <c r="J75" s="5">
        <f>LN(I75)</f>
        <v>0.35667494393873239</v>
      </c>
      <c r="K75" s="4">
        <f>H75/J75</f>
        <v>2.2531985557388001</v>
      </c>
      <c r="L75" s="4">
        <f>F75*(D75^(1/K75))</f>
        <v>12663.224864636026</v>
      </c>
      <c r="M75" s="7">
        <f t="shared" si="12"/>
        <v>7.0011692321097344E-2</v>
      </c>
      <c r="N75" s="8">
        <f t="shared" si="13"/>
        <v>180873.0005633657</v>
      </c>
      <c r="O75">
        <f t="shared" si="14"/>
        <v>3661495</v>
      </c>
      <c r="P75" s="8">
        <f>O75*(K75/(1-K75))*POWER(L75,K75)*(POWER(N74,1-K75)-POWER(N75,1-K75))+P74</f>
        <v>2976814523.4371777</v>
      </c>
      <c r="Q75" s="9">
        <f t="shared" si="15"/>
        <v>9153.7375000000011</v>
      </c>
      <c r="R75" s="4">
        <f t="shared" si="16"/>
        <v>325202.08531620854</v>
      </c>
      <c r="S75" s="3">
        <f t="shared" si="17"/>
        <v>32731817121.687981</v>
      </c>
    </row>
    <row r="76" spans="1:19" x14ac:dyDescent="0.2">
      <c r="A76" t="s">
        <v>73</v>
      </c>
      <c r="B76" s="14">
        <v>5.0000000000000001E-3</v>
      </c>
      <c r="C76" s="5">
        <f>S63/100</f>
        <v>4.4524461584134348E-3</v>
      </c>
      <c r="D76" s="5">
        <f>S62/100</f>
        <v>5.5654927811727177E-3</v>
      </c>
      <c r="E76" s="5">
        <v>140000</v>
      </c>
      <c r="F76" s="5">
        <v>120000</v>
      </c>
      <c r="G76" s="5">
        <f>D76/C76</f>
        <v>1.249985419959778</v>
      </c>
      <c r="H76" s="5">
        <f>LN(G76)</f>
        <v>0.22313188721400679</v>
      </c>
      <c r="I76" s="5">
        <f>E76/F76</f>
        <v>1.1666666666666667</v>
      </c>
      <c r="J76" s="5">
        <f>LN(I76)</f>
        <v>0.15415067982725836</v>
      </c>
      <c r="K76" s="4">
        <f>H76/J76</f>
        <v>1.4474920737556847</v>
      </c>
      <c r="L76" s="4">
        <f>F76*(D76^(1/K76))</f>
        <v>3324.009585263228</v>
      </c>
      <c r="M76" s="7">
        <f t="shared" si="12"/>
        <v>2.5723689999353185E-2</v>
      </c>
      <c r="N76" s="8">
        <f t="shared" si="13"/>
        <v>129219.78088473347</v>
      </c>
      <c r="O76">
        <f t="shared" si="14"/>
        <v>3661495</v>
      </c>
      <c r="P76" s="8">
        <f>O76*(K76/(1-K76))*POWER(L76,K76)*(POWER(N75,1-K76)-POWER(N76,1-K76))+P75</f>
        <v>4045889165.9015479</v>
      </c>
      <c r="Q76" s="9">
        <f t="shared" si="15"/>
        <v>18307.475000000002</v>
      </c>
      <c r="R76" s="4">
        <f t="shared" si="16"/>
        <v>220996.56921020226</v>
      </c>
      <c r="S76" s="3">
        <f t="shared" si="17"/>
        <v>44486918224.249573</v>
      </c>
    </row>
    <row r="77" spans="1:19" x14ac:dyDescent="0.2">
      <c r="A77" t="s">
        <v>72</v>
      </c>
      <c r="B77" s="14">
        <v>0.01</v>
      </c>
      <c r="C77" s="5">
        <f>S60/100</f>
        <v>9.8813425145739646E-3</v>
      </c>
      <c r="D77" s="5">
        <f>S59/100</f>
        <v>1.5466081864375069E-2</v>
      </c>
      <c r="E77" s="5">
        <v>80000</v>
      </c>
      <c r="F77" s="5">
        <v>60000</v>
      </c>
      <c r="G77" s="5">
        <f>D77/C77</f>
        <v>1.5651802213681176</v>
      </c>
      <c r="H77" s="5">
        <f>LN(G77)</f>
        <v>0.44800097478572676</v>
      </c>
      <c r="I77" s="5">
        <f>E77/F77</f>
        <v>1.3333333333333333</v>
      </c>
      <c r="J77" s="5">
        <f>LN(I77)</f>
        <v>0.28768207245178085</v>
      </c>
      <c r="K77" s="4">
        <f>H77/J77</f>
        <v>1.557278042971612</v>
      </c>
      <c r="L77" s="4">
        <f>F77*(D77^(1/K77))</f>
        <v>4125.4269361512443</v>
      </c>
      <c r="M77" s="7">
        <f t="shared" si="12"/>
        <v>5.1964628657611145E-2</v>
      </c>
      <c r="N77" s="8">
        <f t="shared" si="13"/>
        <v>79389.135316124346</v>
      </c>
      <c r="O77">
        <f t="shared" si="14"/>
        <v>3661495</v>
      </c>
      <c r="P77" s="8">
        <f>O77*(K77/(1-K77))*POWER(L77,K77)*(POWER(N76,1-K77)-POWER(N77,1-K77))+P76</f>
        <v>5977114589.3572559</v>
      </c>
      <c r="Q77" s="9">
        <f t="shared" si="15"/>
        <v>36614.950000000004</v>
      </c>
      <c r="R77" s="4">
        <f t="shared" si="16"/>
        <v>163242.46214612489</v>
      </c>
      <c r="S77" s="3">
        <f t="shared" si="17"/>
        <v>65721871522.017807</v>
      </c>
    </row>
    <row r="78" spans="1:19" x14ac:dyDescent="0.2">
      <c r="A78" t="s">
        <v>65</v>
      </c>
      <c r="B78" s="14">
        <v>0.02</v>
      </c>
      <c r="C78" s="5">
        <f>S58/100</f>
        <v>1.9687682099470298E-2</v>
      </c>
      <c r="D78" s="5">
        <f>S57/100</f>
        <v>2.8183983157480753E-2</v>
      </c>
      <c r="E78" s="5">
        <v>50000</v>
      </c>
      <c r="F78" s="5">
        <v>40000</v>
      </c>
      <c r="G78" s="5">
        <f>D78/C78</f>
        <v>1.4315541573194668</v>
      </c>
      <c r="H78" s="5">
        <f>LN(G78)</f>
        <v>0.35876067740726386</v>
      </c>
      <c r="I78" s="5">
        <f>E78/F78</f>
        <v>1.25</v>
      </c>
      <c r="J78" s="5">
        <f>LN(I78)</f>
        <v>0.22314355131420976</v>
      </c>
      <c r="K78" s="4">
        <f>H78/J78</f>
        <v>1.6077573171813995</v>
      </c>
      <c r="L78" s="4">
        <f>F78*(D78^(1/K78))</f>
        <v>4344.9583443618039</v>
      </c>
      <c r="M78" s="7">
        <f t="shared" si="12"/>
        <v>8.7754042076214789E-2</v>
      </c>
      <c r="N78" s="8">
        <f t="shared" si="13"/>
        <v>49512.914067117134</v>
      </c>
      <c r="O78">
        <f t="shared" si="14"/>
        <v>3661495</v>
      </c>
      <c r="P78" s="8">
        <f>O78*(K78/(1-K78))*POWER(L78,K78)*(POWER(N77,1-K78)-POWER(N78,1-K78))+P77</f>
        <v>8369702910.3755989</v>
      </c>
      <c r="Q78" s="9">
        <f t="shared" si="15"/>
        <v>73229.900000000009</v>
      </c>
      <c r="R78" s="4">
        <f t="shared" si="16"/>
        <v>114293.51822651127</v>
      </c>
      <c r="S78" s="3">
        <f t="shared" si="17"/>
        <v>92029779775.782288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18">S32+S73</f>
        <v>30883981575.686264</v>
      </c>
      <c r="C85">
        <f t="shared" ref="C85:C90" si="19">1075050000000*1.23</f>
        <v>1322311500000</v>
      </c>
      <c r="F85" s="10">
        <f t="shared" ref="F85:F90" si="20">B85/C85*100</f>
        <v>2.3356056100008402</v>
      </c>
    </row>
    <row r="86" spans="1:7" ht="15" x14ac:dyDescent="0.25">
      <c r="A86" s="18">
        <v>1E-3</v>
      </c>
      <c r="B86" s="3">
        <f t="shared" si="18"/>
        <v>45335991041.18425</v>
      </c>
      <c r="C86">
        <f t="shared" si="19"/>
        <v>1322311500000</v>
      </c>
      <c r="F86" s="10">
        <f t="shared" si="20"/>
        <v>3.4285409331450452</v>
      </c>
    </row>
    <row r="87" spans="1:7" ht="15" x14ac:dyDescent="0.25">
      <c r="A87" s="18">
        <v>2.5000000000000001E-3</v>
      </c>
      <c r="B87" s="3">
        <f t="shared" si="18"/>
        <v>75304844828.627563</v>
      </c>
      <c r="C87">
        <f t="shared" si="19"/>
        <v>1322311500000</v>
      </c>
      <c r="F87" s="10">
        <f t="shared" si="20"/>
        <v>5.6949398707208978</v>
      </c>
    </row>
    <row r="88" spans="1:7" ht="15" x14ac:dyDescent="0.25">
      <c r="A88" s="18">
        <v>5.0000000000000001E-3</v>
      </c>
      <c r="B88" s="3">
        <f t="shared" si="18"/>
        <v>106902715060.47223</v>
      </c>
      <c r="C88">
        <f t="shared" si="19"/>
        <v>1322311500000</v>
      </c>
      <c r="F88" s="10">
        <f t="shared" si="20"/>
        <v>8.0845334144392016</v>
      </c>
    </row>
    <row r="89" spans="1:7" ht="15" x14ac:dyDescent="0.25">
      <c r="A89" s="19">
        <v>0.01</v>
      </c>
      <c r="B89" s="3">
        <f t="shared" si="18"/>
        <v>157201685842.88055</v>
      </c>
      <c r="C89">
        <f t="shared" si="19"/>
        <v>1322311500000</v>
      </c>
      <c r="F89" s="10">
        <f t="shared" si="20"/>
        <v>11.88840041418989</v>
      </c>
    </row>
    <row r="90" spans="1:7" ht="15" x14ac:dyDescent="0.25">
      <c r="A90" s="19">
        <v>0.02</v>
      </c>
      <c r="B90" s="3">
        <f t="shared" si="18"/>
        <v>223058255911.88947</v>
      </c>
      <c r="C90">
        <f t="shared" si="19"/>
        <v>1322311500000</v>
      </c>
      <c r="F90" s="10">
        <f t="shared" si="20"/>
        <v>16.868813128516955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.28515625" customWidth="1"/>
    <col min="2" max="2" width="26.140625" customWidth="1"/>
    <col min="3" max="3" width="14.7109375" customWidth="1"/>
    <col min="5" max="5" width="14.5703125" customWidth="1"/>
    <col min="7" max="7" width="14.85546875" customWidth="1"/>
    <col min="9" max="9" width="14.140625" customWidth="1"/>
    <col min="11" max="11" width="14.140625" customWidth="1"/>
    <col min="13" max="13" width="13.140625" customWidth="1"/>
    <col min="14" max="14" width="14.5703125" customWidth="1"/>
    <col min="15" max="15" width="12.140625" customWidth="1"/>
    <col min="16" max="16" width="15.7109375" customWidth="1"/>
    <col min="18" max="18" width="14.42578125" customWidth="1"/>
    <col min="19" max="19" width="12.28515625" bestFit="1" customWidth="1"/>
    <col min="257" max="257" width="14.28515625" customWidth="1"/>
    <col min="258" max="258" width="26.140625" customWidth="1"/>
    <col min="259" max="259" width="14.7109375" customWidth="1"/>
    <col min="261" max="261" width="14.5703125" customWidth="1"/>
    <col min="263" max="263" width="14.85546875" customWidth="1"/>
    <col min="265" max="265" width="14.140625" customWidth="1"/>
    <col min="267" max="267" width="14.140625" customWidth="1"/>
    <col min="269" max="269" width="13.140625" customWidth="1"/>
    <col min="270" max="270" width="14.5703125" customWidth="1"/>
    <col min="271" max="271" width="12.140625" customWidth="1"/>
    <col min="272" max="272" width="15.7109375" customWidth="1"/>
    <col min="274" max="274" width="14.42578125" customWidth="1"/>
    <col min="275" max="275" width="12" bestFit="1" customWidth="1"/>
    <col min="513" max="513" width="14.28515625" customWidth="1"/>
    <col min="514" max="514" width="26.140625" customWidth="1"/>
    <col min="515" max="515" width="14.7109375" customWidth="1"/>
    <col min="517" max="517" width="14.5703125" customWidth="1"/>
    <col min="519" max="519" width="14.85546875" customWidth="1"/>
    <col min="521" max="521" width="14.140625" customWidth="1"/>
    <col min="523" max="523" width="14.140625" customWidth="1"/>
    <col min="525" max="525" width="13.140625" customWidth="1"/>
    <col min="526" max="526" width="14.5703125" customWidth="1"/>
    <col min="527" max="527" width="12.140625" customWidth="1"/>
    <col min="528" max="528" width="15.7109375" customWidth="1"/>
    <col min="530" max="530" width="14.42578125" customWidth="1"/>
    <col min="531" max="531" width="12" bestFit="1" customWidth="1"/>
    <col min="769" max="769" width="14.28515625" customWidth="1"/>
    <col min="770" max="770" width="26.140625" customWidth="1"/>
    <col min="771" max="771" width="14.7109375" customWidth="1"/>
    <col min="773" max="773" width="14.5703125" customWidth="1"/>
    <col min="775" max="775" width="14.85546875" customWidth="1"/>
    <col min="777" max="777" width="14.140625" customWidth="1"/>
    <col min="779" max="779" width="14.140625" customWidth="1"/>
    <col min="781" max="781" width="13.140625" customWidth="1"/>
    <col min="782" max="782" width="14.5703125" customWidth="1"/>
    <col min="783" max="783" width="12.140625" customWidth="1"/>
    <col min="784" max="784" width="15.7109375" customWidth="1"/>
    <col min="786" max="786" width="14.42578125" customWidth="1"/>
    <col min="787" max="787" width="12" bestFit="1" customWidth="1"/>
    <col min="1025" max="1025" width="14.28515625" customWidth="1"/>
    <col min="1026" max="1026" width="26.140625" customWidth="1"/>
    <col min="1027" max="1027" width="14.7109375" customWidth="1"/>
    <col min="1029" max="1029" width="14.5703125" customWidth="1"/>
    <col min="1031" max="1031" width="14.85546875" customWidth="1"/>
    <col min="1033" max="1033" width="14.140625" customWidth="1"/>
    <col min="1035" max="1035" width="14.140625" customWidth="1"/>
    <col min="1037" max="1037" width="13.140625" customWidth="1"/>
    <col min="1038" max="1038" width="14.5703125" customWidth="1"/>
    <col min="1039" max="1039" width="12.140625" customWidth="1"/>
    <col min="1040" max="1040" width="15.7109375" customWidth="1"/>
    <col min="1042" max="1042" width="14.42578125" customWidth="1"/>
    <col min="1043" max="1043" width="12" bestFit="1" customWidth="1"/>
    <col min="1281" max="1281" width="14.28515625" customWidth="1"/>
    <col min="1282" max="1282" width="26.140625" customWidth="1"/>
    <col min="1283" max="1283" width="14.7109375" customWidth="1"/>
    <col min="1285" max="1285" width="14.5703125" customWidth="1"/>
    <col min="1287" max="1287" width="14.85546875" customWidth="1"/>
    <col min="1289" max="1289" width="14.140625" customWidth="1"/>
    <col min="1291" max="1291" width="14.140625" customWidth="1"/>
    <col min="1293" max="1293" width="13.140625" customWidth="1"/>
    <col min="1294" max="1294" width="14.5703125" customWidth="1"/>
    <col min="1295" max="1295" width="12.140625" customWidth="1"/>
    <col min="1296" max="1296" width="15.7109375" customWidth="1"/>
    <col min="1298" max="1298" width="14.42578125" customWidth="1"/>
    <col min="1299" max="1299" width="12" bestFit="1" customWidth="1"/>
    <col min="1537" max="1537" width="14.28515625" customWidth="1"/>
    <col min="1538" max="1538" width="26.140625" customWidth="1"/>
    <col min="1539" max="1539" width="14.7109375" customWidth="1"/>
    <col min="1541" max="1541" width="14.5703125" customWidth="1"/>
    <col min="1543" max="1543" width="14.85546875" customWidth="1"/>
    <col min="1545" max="1545" width="14.140625" customWidth="1"/>
    <col min="1547" max="1547" width="14.140625" customWidth="1"/>
    <col min="1549" max="1549" width="13.140625" customWidth="1"/>
    <col min="1550" max="1550" width="14.5703125" customWidth="1"/>
    <col min="1551" max="1551" width="12.140625" customWidth="1"/>
    <col min="1552" max="1552" width="15.7109375" customWidth="1"/>
    <col min="1554" max="1554" width="14.42578125" customWidth="1"/>
    <col min="1555" max="1555" width="12" bestFit="1" customWidth="1"/>
    <col min="1793" max="1793" width="14.28515625" customWidth="1"/>
    <col min="1794" max="1794" width="26.140625" customWidth="1"/>
    <col min="1795" max="1795" width="14.7109375" customWidth="1"/>
    <col min="1797" max="1797" width="14.5703125" customWidth="1"/>
    <col min="1799" max="1799" width="14.85546875" customWidth="1"/>
    <col min="1801" max="1801" width="14.140625" customWidth="1"/>
    <col min="1803" max="1803" width="14.140625" customWidth="1"/>
    <col min="1805" max="1805" width="13.140625" customWidth="1"/>
    <col min="1806" max="1806" width="14.5703125" customWidth="1"/>
    <col min="1807" max="1807" width="12.140625" customWidth="1"/>
    <col min="1808" max="1808" width="15.7109375" customWidth="1"/>
    <col min="1810" max="1810" width="14.42578125" customWidth="1"/>
    <col min="1811" max="1811" width="12" bestFit="1" customWidth="1"/>
    <col min="2049" max="2049" width="14.28515625" customWidth="1"/>
    <col min="2050" max="2050" width="26.140625" customWidth="1"/>
    <col min="2051" max="2051" width="14.7109375" customWidth="1"/>
    <col min="2053" max="2053" width="14.5703125" customWidth="1"/>
    <col min="2055" max="2055" width="14.85546875" customWidth="1"/>
    <col min="2057" max="2057" width="14.140625" customWidth="1"/>
    <col min="2059" max="2059" width="14.140625" customWidth="1"/>
    <col min="2061" max="2061" width="13.140625" customWidth="1"/>
    <col min="2062" max="2062" width="14.5703125" customWidth="1"/>
    <col min="2063" max="2063" width="12.140625" customWidth="1"/>
    <col min="2064" max="2064" width="15.7109375" customWidth="1"/>
    <col min="2066" max="2066" width="14.42578125" customWidth="1"/>
    <col min="2067" max="2067" width="12" bestFit="1" customWidth="1"/>
    <col min="2305" max="2305" width="14.28515625" customWidth="1"/>
    <col min="2306" max="2306" width="26.140625" customWidth="1"/>
    <col min="2307" max="2307" width="14.7109375" customWidth="1"/>
    <col min="2309" max="2309" width="14.5703125" customWidth="1"/>
    <col min="2311" max="2311" width="14.85546875" customWidth="1"/>
    <col min="2313" max="2313" width="14.140625" customWidth="1"/>
    <col min="2315" max="2315" width="14.140625" customWidth="1"/>
    <col min="2317" max="2317" width="13.140625" customWidth="1"/>
    <col min="2318" max="2318" width="14.5703125" customWidth="1"/>
    <col min="2319" max="2319" width="12.140625" customWidth="1"/>
    <col min="2320" max="2320" width="15.7109375" customWidth="1"/>
    <col min="2322" max="2322" width="14.42578125" customWidth="1"/>
    <col min="2323" max="2323" width="12" bestFit="1" customWidth="1"/>
    <col min="2561" max="2561" width="14.28515625" customWidth="1"/>
    <col min="2562" max="2562" width="26.140625" customWidth="1"/>
    <col min="2563" max="2563" width="14.7109375" customWidth="1"/>
    <col min="2565" max="2565" width="14.5703125" customWidth="1"/>
    <col min="2567" max="2567" width="14.85546875" customWidth="1"/>
    <col min="2569" max="2569" width="14.140625" customWidth="1"/>
    <col min="2571" max="2571" width="14.140625" customWidth="1"/>
    <col min="2573" max="2573" width="13.140625" customWidth="1"/>
    <col min="2574" max="2574" width="14.5703125" customWidth="1"/>
    <col min="2575" max="2575" width="12.140625" customWidth="1"/>
    <col min="2576" max="2576" width="15.7109375" customWidth="1"/>
    <col min="2578" max="2578" width="14.42578125" customWidth="1"/>
    <col min="2579" max="2579" width="12" bestFit="1" customWidth="1"/>
    <col min="2817" max="2817" width="14.28515625" customWidth="1"/>
    <col min="2818" max="2818" width="26.140625" customWidth="1"/>
    <col min="2819" max="2819" width="14.7109375" customWidth="1"/>
    <col min="2821" max="2821" width="14.5703125" customWidth="1"/>
    <col min="2823" max="2823" width="14.85546875" customWidth="1"/>
    <col min="2825" max="2825" width="14.140625" customWidth="1"/>
    <col min="2827" max="2827" width="14.140625" customWidth="1"/>
    <col min="2829" max="2829" width="13.140625" customWidth="1"/>
    <col min="2830" max="2830" width="14.5703125" customWidth="1"/>
    <col min="2831" max="2831" width="12.140625" customWidth="1"/>
    <col min="2832" max="2832" width="15.7109375" customWidth="1"/>
    <col min="2834" max="2834" width="14.42578125" customWidth="1"/>
    <col min="2835" max="2835" width="12" bestFit="1" customWidth="1"/>
    <col min="3073" max="3073" width="14.28515625" customWidth="1"/>
    <col min="3074" max="3074" width="26.140625" customWidth="1"/>
    <col min="3075" max="3075" width="14.7109375" customWidth="1"/>
    <col min="3077" max="3077" width="14.5703125" customWidth="1"/>
    <col min="3079" max="3079" width="14.85546875" customWidth="1"/>
    <col min="3081" max="3081" width="14.140625" customWidth="1"/>
    <col min="3083" max="3083" width="14.140625" customWidth="1"/>
    <col min="3085" max="3085" width="13.140625" customWidth="1"/>
    <col min="3086" max="3086" width="14.5703125" customWidth="1"/>
    <col min="3087" max="3087" width="12.140625" customWidth="1"/>
    <col min="3088" max="3088" width="15.7109375" customWidth="1"/>
    <col min="3090" max="3090" width="14.42578125" customWidth="1"/>
    <col min="3091" max="3091" width="12" bestFit="1" customWidth="1"/>
    <col min="3329" max="3329" width="14.28515625" customWidth="1"/>
    <col min="3330" max="3330" width="26.140625" customWidth="1"/>
    <col min="3331" max="3331" width="14.7109375" customWidth="1"/>
    <col min="3333" max="3333" width="14.5703125" customWidth="1"/>
    <col min="3335" max="3335" width="14.85546875" customWidth="1"/>
    <col min="3337" max="3337" width="14.140625" customWidth="1"/>
    <col min="3339" max="3339" width="14.140625" customWidth="1"/>
    <col min="3341" max="3341" width="13.140625" customWidth="1"/>
    <col min="3342" max="3342" width="14.5703125" customWidth="1"/>
    <col min="3343" max="3343" width="12.140625" customWidth="1"/>
    <col min="3344" max="3344" width="15.7109375" customWidth="1"/>
    <col min="3346" max="3346" width="14.42578125" customWidth="1"/>
    <col min="3347" max="3347" width="12" bestFit="1" customWidth="1"/>
    <col min="3585" max="3585" width="14.28515625" customWidth="1"/>
    <col min="3586" max="3586" width="26.140625" customWidth="1"/>
    <col min="3587" max="3587" width="14.7109375" customWidth="1"/>
    <col min="3589" max="3589" width="14.5703125" customWidth="1"/>
    <col min="3591" max="3591" width="14.85546875" customWidth="1"/>
    <col min="3593" max="3593" width="14.140625" customWidth="1"/>
    <col min="3595" max="3595" width="14.140625" customWidth="1"/>
    <col min="3597" max="3597" width="13.140625" customWidth="1"/>
    <col min="3598" max="3598" width="14.5703125" customWidth="1"/>
    <col min="3599" max="3599" width="12.140625" customWidth="1"/>
    <col min="3600" max="3600" width="15.7109375" customWidth="1"/>
    <col min="3602" max="3602" width="14.42578125" customWidth="1"/>
    <col min="3603" max="3603" width="12" bestFit="1" customWidth="1"/>
    <col min="3841" max="3841" width="14.28515625" customWidth="1"/>
    <col min="3842" max="3842" width="26.140625" customWidth="1"/>
    <col min="3843" max="3843" width="14.7109375" customWidth="1"/>
    <col min="3845" max="3845" width="14.5703125" customWidth="1"/>
    <col min="3847" max="3847" width="14.85546875" customWidth="1"/>
    <col min="3849" max="3849" width="14.140625" customWidth="1"/>
    <col min="3851" max="3851" width="14.140625" customWidth="1"/>
    <col min="3853" max="3853" width="13.140625" customWidth="1"/>
    <col min="3854" max="3854" width="14.5703125" customWidth="1"/>
    <col min="3855" max="3855" width="12.140625" customWidth="1"/>
    <col min="3856" max="3856" width="15.7109375" customWidth="1"/>
    <col min="3858" max="3858" width="14.42578125" customWidth="1"/>
    <col min="3859" max="3859" width="12" bestFit="1" customWidth="1"/>
    <col min="4097" max="4097" width="14.28515625" customWidth="1"/>
    <col min="4098" max="4098" width="26.140625" customWidth="1"/>
    <col min="4099" max="4099" width="14.7109375" customWidth="1"/>
    <col min="4101" max="4101" width="14.5703125" customWidth="1"/>
    <col min="4103" max="4103" width="14.85546875" customWidth="1"/>
    <col min="4105" max="4105" width="14.140625" customWidth="1"/>
    <col min="4107" max="4107" width="14.140625" customWidth="1"/>
    <col min="4109" max="4109" width="13.140625" customWidth="1"/>
    <col min="4110" max="4110" width="14.5703125" customWidth="1"/>
    <col min="4111" max="4111" width="12.140625" customWidth="1"/>
    <col min="4112" max="4112" width="15.7109375" customWidth="1"/>
    <col min="4114" max="4114" width="14.42578125" customWidth="1"/>
    <col min="4115" max="4115" width="12" bestFit="1" customWidth="1"/>
    <col min="4353" max="4353" width="14.28515625" customWidth="1"/>
    <col min="4354" max="4354" width="26.140625" customWidth="1"/>
    <col min="4355" max="4355" width="14.7109375" customWidth="1"/>
    <col min="4357" max="4357" width="14.5703125" customWidth="1"/>
    <col min="4359" max="4359" width="14.85546875" customWidth="1"/>
    <col min="4361" max="4361" width="14.140625" customWidth="1"/>
    <col min="4363" max="4363" width="14.140625" customWidth="1"/>
    <col min="4365" max="4365" width="13.140625" customWidth="1"/>
    <col min="4366" max="4366" width="14.5703125" customWidth="1"/>
    <col min="4367" max="4367" width="12.140625" customWidth="1"/>
    <col min="4368" max="4368" width="15.7109375" customWidth="1"/>
    <col min="4370" max="4370" width="14.42578125" customWidth="1"/>
    <col min="4371" max="4371" width="12" bestFit="1" customWidth="1"/>
    <col min="4609" max="4609" width="14.28515625" customWidth="1"/>
    <col min="4610" max="4610" width="26.140625" customWidth="1"/>
    <col min="4611" max="4611" width="14.7109375" customWidth="1"/>
    <col min="4613" max="4613" width="14.5703125" customWidth="1"/>
    <col min="4615" max="4615" width="14.85546875" customWidth="1"/>
    <col min="4617" max="4617" width="14.140625" customWidth="1"/>
    <col min="4619" max="4619" width="14.140625" customWidth="1"/>
    <col min="4621" max="4621" width="13.140625" customWidth="1"/>
    <col min="4622" max="4622" width="14.5703125" customWidth="1"/>
    <col min="4623" max="4623" width="12.140625" customWidth="1"/>
    <col min="4624" max="4624" width="15.7109375" customWidth="1"/>
    <col min="4626" max="4626" width="14.42578125" customWidth="1"/>
    <col min="4627" max="4627" width="12" bestFit="1" customWidth="1"/>
    <col min="4865" max="4865" width="14.28515625" customWidth="1"/>
    <col min="4866" max="4866" width="26.140625" customWidth="1"/>
    <col min="4867" max="4867" width="14.7109375" customWidth="1"/>
    <col min="4869" max="4869" width="14.5703125" customWidth="1"/>
    <col min="4871" max="4871" width="14.85546875" customWidth="1"/>
    <col min="4873" max="4873" width="14.140625" customWidth="1"/>
    <col min="4875" max="4875" width="14.140625" customWidth="1"/>
    <col min="4877" max="4877" width="13.140625" customWidth="1"/>
    <col min="4878" max="4878" width="14.5703125" customWidth="1"/>
    <col min="4879" max="4879" width="12.140625" customWidth="1"/>
    <col min="4880" max="4880" width="15.7109375" customWidth="1"/>
    <col min="4882" max="4882" width="14.42578125" customWidth="1"/>
    <col min="4883" max="4883" width="12" bestFit="1" customWidth="1"/>
    <col min="5121" max="5121" width="14.28515625" customWidth="1"/>
    <col min="5122" max="5122" width="26.140625" customWidth="1"/>
    <col min="5123" max="5123" width="14.7109375" customWidth="1"/>
    <col min="5125" max="5125" width="14.5703125" customWidth="1"/>
    <col min="5127" max="5127" width="14.85546875" customWidth="1"/>
    <col min="5129" max="5129" width="14.140625" customWidth="1"/>
    <col min="5131" max="5131" width="14.140625" customWidth="1"/>
    <col min="5133" max="5133" width="13.140625" customWidth="1"/>
    <col min="5134" max="5134" width="14.5703125" customWidth="1"/>
    <col min="5135" max="5135" width="12.140625" customWidth="1"/>
    <col min="5136" max="5136" width="15.7109375" customWidth="1"/>
    <col min="5138" max="5138" width="14.42578125" customWidth="1"/>
    <col min="5139" max="5139" width="12" bestFit="1" customWidth="1"/>
    <col min="5377" max="5377" width="14.28515625" customWidth="1"/>
    <col min="5378" max="5378" width="26.140625" customWidth="1"/>
    <col min="5379" max="5379" width="14.7109375" customWidth="1"/>
    <col min="5381" max="5381" width="14.5703125" customWidth="1"/>
    <col min="5383" max="5383" width="14.85546875" customWidth="1"/>
    <col min="5385" max="5385" width="14.140625" customWidth="1"/>
    <col min="5387" max="5387" width="14.140625" customWidth="1"/>
    <col min="5389" max="5389" width="13.140625" customWidth="1"/>
    <col min="5390" max="5390" width="14.5703125" customWidth="1"/>
    <col min="5391" max="5391" width="12.140625" customWidth="1"/>
    <col min="5392" max="5392" width="15.7109375" customWidth="1"/>
    <col min="5394" max="5394" width="14.42578125" customWidth="1"/>
    <col min="5395" max="5395" width="12" bestFit="1" customWidth="1"/>
    <col min="5633" max="5633" width="14.28515625" customWidth="1"/>
    <col min="5634" max="5634" width="26.140625" customWidth="1"/>
    <col min="5635" max="5635" width="14.7109375" customWidth="1"/>
    <col min="5637" max="5637" width="14.5703125" customWidth="1"/>
    <col min="5639" max="5639" width="14.85546875" customWidth="1"/>
    <col min="5641" max="5641" width="14.140625" customWidth="1"/>
    <col min="5643" max="5643" width="14.140625" customWidth="1"/>
    <col min="5645" max="5645" width="13.140625" customWidth="1"/>
    <col min="5646" max="5646" width="14.5703125" customWidth="1"/>
    <col min="5647" max="5647" width="12.140625" customWidth="1"/>
    <col min="5648" max="5648" width="15.7109375" customWidth="1"/>
    <col min="5650" max="5650" width="14.42578125" customWidth="1"/>
    <col min="5651" max="5651" width="12" bestFit="1" customWidth="1"/>
    <col min="5889" max="5889" width="14.28515625" customWidth="1"/>
    <col min="5890" max="5890" width="26.140625" customWidth="1"/>
    <col min="5891" max="5891" width="14.7109375" customWidth="1"/>
    <col min="5893" max="5893" width="14.5703125" customWidth="1"/>
    <col min="5895" max="5895" width="14.85546875" customWidth="1"/>
    <col min="5897" max="5897" width="14.140625" customWidth="1"/>
    <col min="5899" max="5899" width="14.140625" customWidth="1"/>
    <col min="5901" max="5901" width="13.140625" customWidth="1"/>
    <col min="5902" max="5902" width="14.5703125" customWidth="1"/>
    <col min="5903" max="5903" width="12.140625" customWidth="1"/>
    <col min="5904" max="5904" width="15.7109375" customWidth="1"/>
    <col min="5906" max="5906" width="14.42578125" customWidth="1"/>
    <col min="5907" max="5907" width="12" bestFit="1" customWidth="1"/>
    <col min="6145" max="6145" width="14.28515625" customWidth="1"/>
    <col min="6146" max="6146" width="26.140625" customWidth="1"/>
    <col min="6147" max="6147" width="14.7109375" customWidth="1"/>
    <col min="6149" max="6149" width="14.5703125" customWidth="1"/>
    <col min="6151" max="6151" width="14.85546875" customWidth="1"/>
    <col min="6153" max="6153" width="14.140625" customWidth="1"/>
    <col min="6155" max="6155" width="14.140625" customWidth="1"/>
    <col min="6157" max="6157" width="13.140625" customWidth="1"/>
    <col min="6158" max="6158" width="14.5703125" customWidth="1"/>
    <col min="6159" max="6159" width="12.140625" customWidth="1"/>
    <col min="6160" max="6160" width="15.7109375" customWidth="1"/>
    <col min="6162" max="6162" width="14.42578125" customWidth="1"/>
    <col min="6163" max="6163" width="12" bestFit="1" customWidth="1"/>
    <col min="6401" max="6401" width="14.28515625" customWidth="1"/>
    <col min="6402" max="6402" width="26.140625" customWidth="1"/>
    <col min="6403" max="6403" width="14.7109375" customWidth="1"/>
    <col min="6405" max="6405" width="14.5703125" customWidth="1"/>
    <col min="6407" max="6407" width="14.85546875" customWidth="1"/>
    <col min="6409" max="6409" width="14.140625" customWidth="1"/>
    <col min="6411" max="6411" width="14.140625" customWidth="1"/>
    <col min="6413" max="6413" width="13.140625" customWidth="1"/>
    <col min="6414" max="6414" width="14.5703125" customWidth="1"/>
    <col min="6415" max="6415" width="12.140625" customWidth="1"/>
    <col min="6416" max="6416" width="15.7109375" customWidth="1"/>
    <col min="6418" max="6418" width="14.42578125" customWidth="1"/>
    <col min="6419" max="6419" width="12" bestFit="1" customWidth="1"/>
    <col min="6657" max="6657" width="14.28515625" customWidth="1"/>
    <col min="6658" max="6658" width="26.140625" customWidth="1"/>
    <col min="6659" max="6659" width="14.7109375" customWidth="1"/>
    <col min="6661" max="6661" width="14.5703125" customWidth="1"/>
    <col min="6663" max="6663" width="14.85546875" customWidth="1"/>
    <col min="6665" max="6665" width="14.140625" customWidth="1"/>
    <col min="6667" max="6667" width="14.140625" customWidth="1"/>
    <col min="6669" max="6669" width="13.140625" customWidth="1"/>
    <col min="6670" max="6670" width="14.5703125" customWidth="1"/>
    <col min="6671" max="6671" width="12.140625" customWidth="1"/>
    <col min="6672" max="6672" width="15.7109375" customWidth="1"/>
    <col min="6674" max="6674" width="14.42578125" customWidth="1"/>
    <col min="6675" max="6675" width="12" bestFit="1" customWidth="1"/>
    <col min="6913" max="6913" width="14.28515625" customWidth="1"/>
    <col min="6914" max="6914" width="26.140625" customWidth="1"/>
    <col min="6915" max="6915" width="14.7109375" customWidth="1"/>
    <col min="6917" max="6917" width="14.5703125" customWidth="1"/>
    <col min="6919" max="6919" width="14.85546875" customWidth="1"/>
    <col min="6921" max="6921" width="14.140625" customWidth="1"/>
    <col min="6923" max="6923" width="14.140625" customWidth="1"/>
    <col min="6925" max="6925" width="13.140625" customWidth="1"/>
    <col min="6926" max="6926" width="14.5703125" customWidth="1"/>
    <col min="6927" max="6927" width="12.140625" customWidth="1"/>
    <col min="6928" max="6928" width="15.7109375" customWidth="1"/>
    <col min="6930" max="6930" width="14.42578125" customWidth="1"/>
    <col min="6931" max="6931" width="12" bestFit="1" customWidth="1"/>
    <col min="7169" max="7169" width="14.28515625" customWidth="1"/>
    <col min="7170" max="7170" width="26.140625" customWidth="1"/>
    <col min="7171" max="7171" width="14.7109375" customWidth="1"/>
    <col min="7173" max="7173" width="14.5703125" customWidth="1"/>
    <col min="7175" max="7175" width="14.85546875" customWidth="1"/>
    <col min="7177" max="7177" width="14.140625" customWidth="1"/>
    <col min="7179" max="7179" width="14.140625" customWidth="1"/>
    <col min="7181" max="7181" width="13.140625" customWidth="1"/>
    <col min="7182" max="7182" width="14.5703125" customWidth="1"/>
    <col min="7183" max="7183" width="12.140625" customWidth="1"/>
    <col min="7184" max="7184" width="15.7109375" customWidth="1"/>
    <col min="7186" max="7186" width="14.42578125" customWidth="1"/>
    <col min="7187" max="7187" width="12" bestFit="1" customWidth="1"/>
    <col min="7425" max="7425" width="14.28515625" customWidth="1"/>
    <col min="7426" max="7426" width="26.140625" customWidth="1"/>
    <col min="7427" max="7427" width="14.7109375" customWidth="1"/>
    <col min="7429" max="7429" width="14.5703125" customWidth="1"/>
    <col min="7431" max="7431" width="14.85546875" customWidth="1"/>
    <col min="7433" max="7433" width="14.140625" customWidth="1"/>
    <col min="7435" max="7435" width="14.140625" customWidth="1"/>
    <col min="7437" max="7437" width="13.140625" customWidth="1"/>
    <col min="7438" max="7438" width="14.5703125" customWidth="1"/>
    <col min="7439" max="7439" width="12.140625" customWidth="1"/>
    <col min="7440" max="7440" width="15.7109375" customWidth="1"/>
    <col min="7442" max="7442" width="14.42578125" customWidth="1"/>
    <col min="7443" max="7443" width="12" bestFit="1" customWidth="1"/>
    <col min="7681" max="7681" width="14.28515625" customWidth="1"/>
    <col min="7682" max="7682" width="26.140625" customWidth="1"/>
    <col min="7683" max="7683" width="14.7109375" customWidth="1"/>
    <col min="7685" max="7685" width="14.5703125" customWidth="1"/>
    <col min="7687" max="7687" width="14.85546875" customWidth="1"/>
    <col min="7689" max="7689" width="14.140625" customWidth="1"/>
    <col min="7691" max="7691" width="14.140625" customWidth="1"/>
    <col min="7693" max="7693" width="13.140625" customWidth="1"/>
    <col min="7694" max="7694" width="14.5703125" customWidth="1"/>
    <col min="7695" max="7695" width="12.140625" customWidth="1"/>
    <col min="7696" max="7696" width="15.7109375" customWidth="1"/>
    <col min="7698" max="7698" width="14.42578125" customWidth="1"/>
    <col min="7699" max="7699" width="12" bestFit="1" customWidth="1"/>
    <col min="7937" max="7937" width="14.28515625" customWidth="1"/>
    <col min="7938" max="7938" width="26.140625" customWidth="1"/>
    <col min="7939" max="7939" width="14.7109375" customWidth="1"/>
    <col min="7941" max="7941" width="14.5703125" customWidth="1"/>
    <col min="7943" max="7943" width="14.85546875" customWidth="1"/>
    <col min="7945" max="7945" width="14.140625" customWidth="1"/>
    <col min="7947" max="7947" width="14.140625" customWidth="1"/>
    <col min="7949" max="7949" width="13.140625" customWidth="1"/>
    <col min="7950" max="7950" width="14.5703125" customWidth="1"/>
    <col min="7951" max="7951" width="12.140625" customWidth="1"/>
    <col min="7952" max="7952" width="15.7109375" customWidth="1"/>
    <col min="7954" max="7954" width="14.42578125" customWidth="1"/>
    <col min="7955" max="7955" width="12" bestFit="1" customWidth="1"/>
    <col min="8193" max="8193" width="14.28515625" customWidth="1"/>
    <col min="8194" max="8194" width="26.140625" customWidth="1"/>
    <col min="8195" max="8195" width="14.7109375" customWidth="1"/>
    <col min="8197" max="8197" width="14.5703125" customWidth="1"/>
    <col min="8199" max="8199" width="14.85546875" customWidth="1"/>
    <col min="8201" max="8201" width="14.140625" customWidth="1"/>
    <col min="8203" max="8203" width="14.140625" customWidth="1"/>
    <col min="8205" max="8205" width="13.140625" customWidth="1"/>
    <col min="8206" max="8206" width="14.5703125" customWidth="1"/>
    <col min="8207" max="8207" width="12.140625" customWidth="1"/>
    <col min="8208" max="8208" width="15.7109375" customWidth="1"/>
    <col min="8210" max="8210" width="14.42578125" customWidth="1"/>
    <col min="8211" max="8211" width="12" bestFit="1" customWidth="1"/>
    <col min="8449" max="8449" width="14.28515625" customWidth="1"/>
    <col min="8450" max="8450" width="26.140625" customWidth="1"/>
    <col min="8451" max="8451" width="14.7109375" customWidth="1"/>
    <col min="8453" max="8453" width="14.5703125" customWidth="1"/>
    <col min="8455" max="8455" width="14.85546875" customWidth="1"/>
    <col min="8457" max="8457" width="14.140625" customWidth="1"/>
    <col min="8459" max="8459" width="14.140625" customWidth="1"/>
    <col min="8461" max="8461" width="13.140625" customWidth="1"/>
    <col min="8462" max="8462" width="14.5703125" customWidth="1"/>
    <col min="8463" max="8463" width="12.140625" customWidth="1"/>
    <col min="8464" max="8464" width="15.7109375" customWidth="1"/>
    <col min="8466" max="8466" width="14.42578125" customWidth="1"/>
    <col min="8467" max="8467" width="12" bestFit="1" customWidth="1"/>
    <col min="8705" max="8705" width="14.28515625" customWidth="1"/>
    <col min="8706" max="8706" width="26.140625" customWidth="1"/>
    <col min="8707" max="8707" width="14.7109375" customWidth="1"/>
    <col min="8709" max="8709" width="14.5703125" customWidth="1"/>
    <col min="8711" max="8711" width="14.85546875" customWidth="1"/>
    <col min="8713" max="8713" width="14.140625" customWidth="1"/>
    <col min="8715" max="8715" width="14.140625" customWidth="1"/>
    <col min="8717" max="8717" width="13.140625" customWidth="1"/>
    <col min="8718" max="8718" width="14.5703125" customWidth="1"/>
    <col min="8719" max="8719" width="12.140625" customWidth="1"/>
    <col min="8720" max="8720" width="15.7109375" customWidth="1"/>
    <col min="8722" max="8722" width="14.42578125" customWidth="1"/>
    <col min="8723" max="8723" width="12" bestFit="1" customWidth="1"/>
    <col min="8961" max="8961" width="14.28515625" customWidth="1"/>
    <col min="8962" max="8962" width="26.140625" customWidth="1"/>
    <col min="8963" max="8963" width="14.7109375" customWidth="1"/>
    <col min="8965" max="8965" width="14.5703125" customWidth="1"/>
    <col min="8967" max="8967" width="14.85546875" customWidth="1"/>
    <col min="8969" max="8969" width="14.140625" customWidth="1"/>
    <col min="8971" max="8971" width="14.140625" customWidth="1"/>
    <col min="8973" max="8973" width="13.140625" customWidth="1"/>
    <col min="8974" max="8974" width="14.5703125" customWidth="1"/>
    <col min="8975" max="8975" width="12.140625" customWidth="1"/>
    <col min="8976" max="8976" width="15.7109375" customWidth="1"/>
    <col min="8978" max="8978" width="14.42578125" customWidth="1"/>
    <col min="8979" max="8979" width="12" bestFit="1" customWidth="1"/>
    <col min="9217" max="9217" width="14.28515625" customWidth="1"/>
    <col min="9218" max="9218" width="26.140625" customWidth="1"/>
    <col min="9219" max="9219" width="14.7109375" customWidth="1"/>
    <col min="9221" max="9221" width="14.5703125" customWidth="1"/>
    <col min="9223" max="9223" width="14.85546875" customWidth="1"/>
    <col min="9225" max="9225" width="14.140625" customWidth="1"/>
    <col min="9227" max="9227" width="14.140625" customWidth="1"/>
    <col min="9229" max="9229" width="13.140625" customWidth="1"/>
    <col min="9230" max="9230" width="14.5703125" customWidth="1"/>
    <col min="9231" max="9231" width="12.140625" customWidth="1"/>
    <col min="9232" max="9232" width="15.7109375" customWidth="1"/>
    <col min="9234" max="9234" width="14.42578125" customWidth="1"/>
    <col min="9235" max="9235" width="12" bestFit="1" customWidth="1"/>
    <col min="9473" max="9473" width="14.28515625" customWidth="1"/>
    <col min="9474" max="9474" width="26.140625" customWidth="1"/>
    <col min="9475" max="9475" width="14.7109375" customWidth="1"/>
    <col min="9477" max="9477" width="14.5703125" customWidth="1"/>
    <col min="9479" max="9479" width="14.85546875" customWidth="1"/>
    <col min="9481" max="9481" width="14.140625" customWidth="1"/>
    <col min="9483" max="9483" width="14.140625" customWidth="1"/>
    <col min="9485" max="9485" width="13.140625" customWidth="1"/>
    <col min="9486" max="9486" width="14.5703125" customWidth="1"/>
    <col min="9487" max="9487" width="12.140625" customWidth="1"/>
    <col min="9488" max="9488" width="15.7109375" customWidth="1"/>
    <col min="9490" max="9490" width="14.42578125" customWidth="1"/>
    <col min="9491" max="9491" width="12" bestFit="1" customWidth="1"/>
    <col min="9729" max="9729" width="14.28515625" customWidth="1"/>
    <col min="9730" max="9730" width="26.140625" customWidth="1"/>
    <col min="9731" max="9731" width="14.7109375" customWidth="1"/>
    <col min="9733" max="9733" width="14.5703125" customWidth="1"/>
    <col min="9735" max="9735" width="14.85546875" customWidth="1"/>
    <col min="9737" max="9737" width="14.140625" customWidth="1"/>
    <col min="9739" max="9739" width="14.140625" customWidth="1"/>
    <col min="9741" max="9741" width="13.140625" customWidth="1"/>
    <col min="9742" max="9742" width="14.5703125" customWidth="1"/>
    <col min="9743" max="9743" width="12.140625" customWidth="1"/>
    <col min="9744" max="9744" width="15.7109375" customWidth="1"/>
    <col min="9746" max="9746" width="14.42578125" customWidth="1"/>
    <col min="9747" max="9747" width="12" bestFit="1" customWidth="1"/>
    <col min="9985" max="9985" width="14.28515625" customWidth="1"/>
    <col min="9986" max="9986" width="26.140625" customWidth="1"/>
    <col min="9987" max="9987" width="14.7109375" customWidth="1"/>
    <col min="9989" max="9989" width="14.5703125" customWidth="1"/>
    <col min="9991" max="9991" width="14.85546875" customWidth="1"/>
    <col min="9993" max="9993" width="14.140625" customWidth="1"/>
    <col min="9995" max="9995" width="14.140625" customWidth="1"/>
    <col min="9997" max="9997" width="13.140625" customWidth="1"/>
    <col min="9998" max="9998" width="14.5703125" customWidth="1"/>
    <col min="9999" max="9999" width="12.140625" customWidth="1"/>
    <col min="10000" max="10000" width="15.7109375" customWidth="1"/>
    <col min="10002" max="10002" width="14.42578125" customWidth="1"/>
    <col min="10003" max="10003" width="12" bestFit="1" customWidth="1"/>
    <col min="10241" max="10241" width="14.28515625" customWidth="1"/>
    <col min="10242" max="10242" width="26.140625" customWidth="1"/>
    <col min="10243" max="10243" width="14.7109375" customWidth="1"/>
    <col min="10245" max="10245" width="14.5703125" customWidth="1"/>
    <col min="10247" max="10247" width="14.85546875" customWidth="1"/>
    <col min="10249" max="10249" width="14.140625" customWidth="1"/>
    <col min="10251" max="10251" width="14.140625" customWidth="1"/>
    <col min="10253" max="10253" width="13.140625" customWidth="1"/>
    <col min="10254" max="10254" width="14.5703125" customWidth="1"/>
    <col min="10255" max="10255" width="12.140625" customWidth="1"/>
    <col min="10256" max="10256" width="15.7109375" customWidth="1"/>
    <col min="10258" max="10258" width="14.42578125" customWidth="1"/>
    <col min="10259" max="10259" width="12" bestFit="1" customWidth="1"/>
    <col min="10497" max="10497" width="14.28515625" customWidth="1"/>
    <col min="10498" max="10498" width="26.140625" customWidth="1"/>
    <col min="10499" max="10499" width="14.7109375" customWidth="1"/>
    <col min="10501" max="10501" width="14.5703125" customWidth="1"/>
    <col min="10503" max="10503" width="14.85546875" customWidth="1"/>
    <col min="10505" max="10505" width="14.140625" customWidth="1"/>
    <col min="10507" max="10507" width="14.140625" customWidth="1"/>
    <col min="10509" max="10509" width="13.140625" customWidth="1"/>
    <col min="10510" max="10510" width="14.5703125" customWidth="1"/>
    <col min="10511" max="10511" width="12.140625" customWidth="1"/>
    <col min="10512" max="10512" width="15.7109375" customWidth="1"/>
    <col min="10514" max="10514" width="14.42578125" customWidth="1"/>
    <col min="10515" max="10515" width="12" bestFit="1" customWidth="1"/>
    <col min="10753" max="10753" width="14.28515625" customWidth="1"/>
    <col min="10754" max="10754" width="26.140625" customWidth="1"/>
    <col min="10755" max="10755" width="14.7109375" customWidth="1"/>
    <col min="10757" max="10757" width="14.5703125" customWidth="1"/>
    <col min="10759" max="10759" width="14.85546875" customWidth="1"/>
    <col min="10761" max="10761" width="14.140625" customWidth="1"/>
    <col min="10763" max="10763" width="14.140625" customWidth="1"/>
    <col min="10765" max="10765" width="13.140625" customWidth="1"/>
    <col min="10766" max="10766" width="14.5703125" customWidth="1"/>
    <col min="10767" max="10767" width="12.140625" customWidth="1"/>
    <col min="10768" max="10768" width="15.7109375" customWidth="1"/>
    <col min="10770" max="10770" width="14.42578125" customWidth="1"/>
    <col min="10771" max="10771" width="12" bestFit="1" customWidth="1"/>
    <col min="11009" max="11009" width="14.28515625" customWidth="1"/>
    <col min="11010" max="11010" width="26.140625" customWidth="1"/>
    <col min="11011" max="11011" width="14.7109375" customWidth="1"/>
    <col min="11013" max="11013" width="14.5703125" customWidth="1"/>
    <col min="11015" max="11015" width="14.85546875" customWidth="1"/>
    <col min="11017" max="11017" width="14.140625" customWidth="1"/>
    <col min="11019" max="11019" width="14.140625" customWidth="1"/>
    <col min="11021" max="11021" width="13.140625" customWidth="1"/>
    <col min="11022" max="11022" width="14.5703125" customWidth="1"/>
    <col min="11023" max="11023" width="12.140625" customWidth="1"/>
    <col min="11024" max="11024" width="15.7109375" customWidth="1"/>
    <col min="11026" max="11026" width="14.42578125" customWidth="1"/>
    <col min="11027" max="11027" width="12" bestFit="1" customWidth="1"/>
    <col min="11265" max="11265" width="14.28515625" customWidth="1"/>
    <col min="11266" max="11266" width="26.140625" customWidth="1"/>
    <col min="11267" max="11267" width="14.7109375" customWidth="1"/>
    <col min="11269" max="11269" width="14.5703125" customWidth="1"/>
    <col min="11271" max="11271" width="14.85546875" customWidth="1"/>
    <col min="11273" max="11273" width="14.140625" customWidth="1"/>
    <col min="11275" max="11275" width="14.140625" customWidth="1"/>
    <col min="11277" max="11277" width="13.140625" customWidth="1"/>
    <col min="11278" max="11278" width="14.5703125" customWidth="1"/>
    <col min="11279" max="11279" width="12.140625" customWidth="1"/>
    <col min="11280" max="11280" width="15.7109375" customWidth="1"/>
    <col min="11282" max="11282" width="14.42578125" customWidth="1"/>
    <col min="11283" max="11283" width="12" bestFit="1" customWidth="1"/>
    <col min="11521" max="11521" width="14.28515625" customWidth="1"/>
    <col min="11522" max="11522" width="26.140625" customWidth="1"/>
    <col min="11523" max="11523" width="14.7109375" customWidth="1"/>
    <col min="11525" max="11525" width="14.5703125" customWidth="1"/>
    <col min="11527" max="11527" width="14.85546875" customWidth="1"/>
    <col min="11529" max="11529" width="14.140625" customWidth="1"/>
    <col min="11531" max="11531" width="14.140625" customWidth="1"/>
    <col min="11533" max="11533" width="13.140625" customWidth="1"/>
    <col min="11534" max="11534" width="14.5703125" customWidth="1"/>
    <col min="11535" max="11535" width="12.140625" customWidth="1"/>
    <col min="11536" max="11536" width="15.7109375" customWidth="1"/>
    <col min="11538" max="11538" width="14.42578125" customWidth="1"/>
    <col min="11539" max="11539" width="12" bestFit="1" customWidth="1"/>
    <col min="11777" max="11777" width="14.28515625" customWidth="1"/>
    <col min="11778" max="11778" width="26.140625" customWidth="1"/>
    <col min="11779" max="11779" width="14.7109375" customWidth="1"/>
    <col min="11781" max="11781" width="14.5703125" customWidth="1"/>
    <col min="11783" max="11783" width="14.85546875" customWidth="1"/>
    <col min="11785" max="11785" width="14.140625" customWidth="1"/>
    <col min="11787" max="11787" width="14.140625" customWidth="1"/>
    <col min="11789" max="11789" width="13.140625" customWidth="1"/>
    <col min="11790" max="11790" width="14.5703125" customWidth="1"/>
    <col min="11791" max="11791" width="12.140625" customWidth="1"/>
    <col min="11792" max="11792" width="15.7109375" customWidth="1"/>
    <col min="11794" max="11794" width="14.42578125" customWidth="1"/>
    <col min="11795" max="11795" width="12" bestFit="1" customWidth="1"/>
    <col min="12033" max="12033" width="14.28515625" customWidth="1"/>
    <col min="12034" max="12034" width="26.140625" customWidth="1"/>
    <col min="12035" max="12035" width="14.7109375" customWidth="1"/>
    <col min="12037" max="12037" width="14.5703125" customWidth="1"/>
    <col min="12039" max="12039" width="14.85546875" customWidth="1"/>
    <col min="12041" max="12041" width="14.140625" customWidth="1"/>
    <col min="12043" max="12043" width="14.140625" customWidth="1"/>
    <col min="12045" max="12045" width="13.140625" customWidth="1"/>
    <col min="12046" max="12046" width="14.5703125" customWidth="1"/>
    <col min="12047" max="12047" width="12.140625" customWidth="1"/>
    <col min="12048" max="12048" width="15.7109375" customWidth="1"/>
    <col min="12050" max="12050" width="14.42578125" customWidth="1"/>
    <col min="12051" max="12051" width="12" bestFit="1" customWidth="1"/>
    <col min="12289" max="12289" width="14.28515625" customWidth="1"/>
    <col min="12290" max="12290" width="26.140625" customWidth="1"/>
    <col min="12291" max="12291" width="14.7109375" customWidth="1"/>
    <col min="12293" max="12293" width="14.5703125" customWidth="1"/>
    <col min="12295" max="12295" width="14.85546875" customWidth="1"/>
    <col min="12297" max="12297" width="14.140625" customWidth="1"/>
    <col min="12299" max="12299" width="14.140625" customWidth="1"/>
    <col min="12301" max="12301" width="13.140625" customWidth="1"/>
    <col min="12302" max="12302" width="14.5703125" customWidth="1"/>
    <col min="12303" max="12303" width="12.140625" customWidth="1"/>
    <col min="12304" max="12304" width="15.7109375" customWidth="1"/>
    <col min="12306" max="12306" width="14.42578125" customWidth="1"/>
    <col min="12307" max="12307" width="12" bestFit="1" customWidth="1"/>
    <col min="12545" max="12545" width="14.28515625" customWidth="1"/>
    <col min="12546" max="12546" width="26.140625" customWidth="1"/>
    <col min="12547" max="12547" width="14.7109375" customWidth="1"/>
    <col min="12549" max="12549" width="14.5703125" customWidth="1"/>
    <col min="12551" max="12551" width="14.85546875" customWidth="1"/>
    <col min="12553" max="12553" width="14.140625" customWidth="1"/>
    <col min="12555" max="12555" width="14.140625" customWidth="1"/>
    <col min="12557" max="12557" width="13.140625" customWidth="1"/>
    <col min="12558" max="12558" width="14.5703125" customWidth="1"/>
    <col min="12559" max="12559" width="12.140625" customWidth="1"/>
    <col min="12560" max="12560" width="15.7109375" customWidth="1"/>
    <col min="12562" max="12562" width="14.42578125" customWidth="1"/>
    <col min="12563" max="12563" width="12" bestFit="1" customWidth="1"/>
    <col min="12801" max="12801" width="14.28515625" customWidth="1"/>
    <col min="12802" max="12802" width="26.140625" customWidth="1"/>
    <col min="12803" max="12803" width="14.7109375" customWidth="1"/>
    <col min="12805" max="12805" width="14.5703125" customWidth="1"/>
    <col min="12807" max="12807" width="14.85546875" customWidth="1"/>
    <col min="12809" max="12809" width="14.140625" customWidth="1"/>
    <col min="12811" max="12811" width="14.140625" customWidth="1"/>
    <col min="12813" max="12813" width="13.140625" customWidth="1"/>
    <col min="12814" max="12814" width="14.5703125" customWidth="1"/>
    <col min="12815" max="12815" width="12.140625" customWidth="1"/>
    <col min="12816" max="12816" width="15.7109375" customWidth="1"/>
    <col min="12818" max="12818" width="14.42578125" customWidth="1"/>
    <col min="12819" max="12819" width="12" bestFit="1" customWidth="1"/>
    <col min="13057" max="13057" width="14.28515625" customWidth="1"/>
    <col min="13058" max="13058" width="26.140625" customWidth="1"/>
    <col min="13059" max="13059" width="14.7109375" customWidth="1"/>
    <col min="13061" max="13061" width="14.5703125" customWidth="1"/>
    <col min="13063" max="13063" width="14.85546875" customWidth="1"/>
    <col min="13065" max="13065" width="14.140625" customWidth="1"/>
    <col min="13067" max="13067" width="14.140625" customWidth="1"/>
    <col min="13069" max="13069" width="13.140625" customWidth="1"/>
    <col min="13070" max="13070" width="14.5703125" customWidth="1"/>
    <col min="13071" max="13071" width="12.140625" customWidth="1"/>
    <col min="13072" max="13072" width="15.7109375" customWidth="1"/>
    <col min="13074" max="13074" width="14.42578125" customWidth="1"/>
    <col min="13075" max="13075" width="12" bestFit="1" customWidth="1"/>
    <col min="13313" max="13313" width="14.28515625" customWidth="1"/>
    <col min="13314" max="13314" width="26.140625" customWidth="1"/>
    <col min="13315" max="13315" width="14.7109375" customWidth="1"/>
    <col min="13317" max="13317" width="14.5703125" customWidth="1"/>
    <col min="13319" max="13319" width="14.85546875" customWidth="1"/>
    <col min="13321" max="13321" width="14.140625" customWidth="1"/>
    <col min="13323" max="13323" width="14.140625" customWidth="1"/>
    <col min="13325" max="13325" width="13.140625" customWidth="1"/>
    <col min="13326" max="13326" width="14.5703125" customWidth="1"/>
    <col min="13327" max="13327" width="12.140625" customWidth="1"/>
    <col min="13328" max="13328" width="15.7109375" customWidth="1"/>
    <col min="13330" max="13330" width="14.42578125" customWidth="1"/>
    <col min="13331" max="13331" width="12" bestFit="1" customWidth="1"/>
    <col min="13569" max="13569" width="14.28515625" customWidth="1"/>
    <col min="13570" max="13570" width="26.140625" customWidth="1"/>
    <col min="13571" max="13571" width="14.7109375" customWidth="1"/>
    <col min="13573" max="13573" width="14.5703125" customWidth="1"/>
    <col min="13575" max="13575" width="14.85546875" customWidth="1"/>
    <col min="13577" max="13577" width="14.140625" customWidth="1"/>
    <col min="13579" max="13579" width="14.140625" customWidth="1"/>
    <col min="13581" max="13581" width="13.140625" customWidth="1"/>
    <col min="13582" max="13582" width="14.5703125" customWidth="1"/>
    <col min="13583" max="13583" width="12.140625" customWidth="1"/>
    <col min="13584" max="13584" width="15.7109375" customWidth="1"/>
    <col min="13586" max="13586" width="14.42578125" customWidth="1"/>
    <col min="13587" max="13587" width="12" bestFit="1" customWidth="1"/>
    <col min="13825" max="13825" width="14.28515625" customWidth="1"/>
    <col min="13826" max="13826" width="26.140625" customWidth="1"/>
    <col min="13827" max="13827" width="14.7109375" customWidth="1"/>
    <col min="13829" max="13829" width="14.5703125" customWidth="1"/>
    <col min="13831" max="13831" width="14.85546875" customWidth="1"/>
    <col min="13833" max="13833" width="14.140625" customWidth="1"/>
    <col min="13835" max="13835" width="14.140625" customWidth="1"/>
    <col min="13837" max="13837" width="13.140625" customWidth="1"/>
    <col min="13838" max="13838" width="14.5703125" customWidth="1"/>
    <col min="13839" max="13839" width="12.140625" customWidth="1"/>
    <col min="13840" max="13840" width="15.7109375" customWidth="1"/>
    <col min="13842" max="13842" width="14.42578125" customWidth="1"/>
    <col min="13843" max="13843" width="12" bestFit="1" customWidth="1"/>
    <col min="14081" max="14081" width="14.28515625" customWidth="1"/>
    <col min="14082" max="14082" width="26.140625" customWidth="1"/>
    <col min="14083" max="14083" width="14.7109375" customWidth="1"/>
    <col min="14085" max="14085" width="14.5703125" customWidth="1"/>
    <col min="14087" max="14087" width="14.85546875" customWidth="1"/>
    <col min="14089" max="14089" width="14.140625" customWidth="1"/>
    <col min="14091" max="14091" width="14.140625" customWidth="1"/>
    <col min="14093" max="14093" width="13.140625" customWidth="1"/>
    <col min="14094" max="14094" width="14.5703125" customWidth="1"/>
    <col min="14095" max="14095" width="12.140625" customWidth="1"/>
    <col min="14096" max="14096" width="15.7109375" customWidth="1"/>
    <col min="14098" max="14098" width="14.42578125" customWidth="1"/>
    <col min="14099" max="14099" width="12" bestFit="1" customWidth="1"/>
    <col min="14337" max="14337" width="14.28515625" customWidth="1"/>
    <col min="14338" max="14338" width="26.140625" customWidth="1"/>
    <col min="14339" max="14339" width="14.7109375" customWidth="1"/>
    <col min="14341" max="14341" width="14.5703125" customWidth="1"/>
    <col min="14343" max="14343" width="14.85546875" customWidth="1"/>
    <col min="14345" max="14345" width="14.140625" customWidth="1"/>
    <col min="14347" max="14347" width="14.140625" customWidth="1"/>
    <col min="14349" max="14349" width="13.140625" customWidth="1"/>
    <col min="14350" max="14350" width="14.5703125" customWidth="1"/>
    <col min="14351" max="14351" width="12.140625" customWidth="1"/>
    <col min="14352" max="14352" width="15.7109375" customWidth="1"/>
    <col min="14354" max="14354" width="14.42578125" customWidth="1"/>
    <col min="14355" max="14355" width="12" bestFit="1" customWidth="1"/>
    <col min="14593" max="14593" width="14.28515625" customWidth="1"/>
    <col min="14594" max="14594" width="26.140625" customWidth="1"/>
    <col min="14595" max="14595" width="14.7109375" customWidth="1"/>
    <col min="14597" max="14597" width="14.5703125" customWidth="1"/>
    <col min="14599" max="14599" width="14.85546875" customWidth="1"/>
    <col min="14601" max="14601" width="14.140625" customWidth="1"/>
    <col min="14603" max="14603" width="14.140625" customWidth="1"/>
    <col min="14605" max="14605" width="13.140625" customWidth="1"/>
    <col min="14606" max="14606" width="14.5703125" customWidth="1"/>
    <col min="14607" max="14607" width="12.140625" customWidth="1"/>
    <col min="14608" max="14608" width="15.7109375" customWidth="1"/>
    <col min="14610" max="14610" width="14.42578125" customWidth="1"/>
    <col min="14611" max="14611" width="12" bestFit="1" customWidth="1"/>
    <col min="14849" max="14849" width="14.28515625" customWidth="1"/>
    <col min="14850" max="14850" width="26.140625" customWidth="1"/>
    <col min="14851" max="14851" width="14.7109375" customWidth="1"/>
    <col min="14853" max="14853" width="14.5703125" customWidth="1"/>
    <col min="14855" max="14855" width="14.85546875" customWidth="1"/>
    <col min="14857" max="14857" width="14.140625" customWidth="1"/>
    <col min="14859" max="14859" width="14.140625" customWidth="1"/>
    <col min="14861" max="14861" width="13.140625" customWidth="1"/>
    <col min="14862" max="14862" width="14.5703125" customWidth="1"/>
    <col min="14863" max="14863" width="12.140625" customWidth="1"/>
    <col min="14864" max="14864" width="15.7109375" customWidth="1"/>
    <col min="14866" max="14866" width="14.42578125" customWidth="1"/>
    <col min="14867" max="14867" width="12" bestFit="1" customWidth="1"/>
    <col min="15105" max="15105" width="14.28515625" customWidth="1"/>
    <col min="15106" max="15106" width="26.140625" customWidth="1"/>
    <col min="15107" max="15107" width="14.7109375" customWidth="1"/>
    <col min="15109" max="15109" width="14.5703125" customWidth="1"/>
    <col min="15111" max="15111" width="14.85546875" customWidth="1"/>
    <col min="15113" max="15113" width="14.140625" customWidth="1"/>
    <col min="15115" max="15115" width="14.140625" customWidth="1"/>
    <col min="15117" max="15117" width="13.140625" customWidth="1"/>
    <col min="15118" max="15118" width="14.5703125" customWidth="1"/>
    <col min="15119" max="15119" width="12.140625" customWidth="1"/>
    <col min="15120" max="15120" width="15.7109375" customWidth="1"/>
    <col min="15122" max="15122" width="14.42578125" customWidth="1"/>
    <col min="15123" max="15123" width="12" bestFit="1" customWidth="1"/>
    <col min="15361" max="15361" width="14.28515625" customWidth="1"/>
    <col min="15362" max="15362" width="26.140625" customWidth="1"/>
    <col min="15363" max="15363" width="14.7109375" customWidth="1"/>
    <col min="15365" max="15365" width="14.5703125" customWidth="1"/>
    <col min="15367" max="15367" width="14.85546875" customWidth="1"/>
    <col min="15369" max="15369" width="14.140625" customWidth="1"/>
    <col min="15371" max="15371" width="14.140625" customWidth="1"/>
    <col min="15373" max="15373" width="13.140625" customWidth="1"/>
    <col min="15374" max="15374" width="14.5703125" customWidth="1"/>
    <col min="15375" max="15375" width="12.140625" customWidth="1"/>
    <col min="15376" max="15376" width="15.7109375" customWidth="1"/>
    <col min="15378" max="15378" width="14.42578125" customWidth="1"/>
    <col min="15379" max="15379" width="12" bestFit="1" customWidth="1"/>
    <col min="15617" max="15617" width="14.28515625" customWidth="1"/>
    <col min="15618" max="15618" width="26.140625" customWidth="1"/>
    <col min="15619" max="15619" width="14.7109375" customWidth="1"/>
    <col min="15621" max="15621" width="14.5703125" customWidth="1"/>
    <col min="15623" max="15623" width="14.85546875" customWidth="1"/>
    <col min="15625" max="15625" width="14.140625" customWidth="1"/>
    <col min="15627" max="15627" width="14.140625" customWidth="1"/>
    <col min="15629" max="15629" width="13.140625" customWidth="1"/>
    <col min="15630" max="15630" width="14.5703125" customWidth="1"/>
    <col min="15631" max="15631" width="12.140625" customWidth="1"/>
    <col min="15632" max="15632" width="15.7109375" customWidth="1"/>
    <col min="15634" max="15634" width="14.42578125" customWidth="1"/>
    <col min="15635" max="15635" width="12" bestFit="1" customWidth="1"/>
    <col min="15873" max="15873" width="14.28515625" customWidth="1"/>
    <col min="15874" max="15874" width="26.140625" customWidth="1"/>
    <col min="15875" max="15875" width="14.7109375" customWidth="1"/>
    <col min="15877" max="15877" width="14.5703125" customWidth="1"/>
    <col min="15879" max="15879" width="14.85546875" customWidth="1"/>
    <col min="15881" max="15881" width="14.140625" customWidth="1"/>
    <col min="15883" max="15883" width="14.140625" customWidth="1"/>
    <col min="15885" max="15885" width="13.140625" customWidth="1"/>
    <col min="15886" max="15886" width="14.5703125" customWidth="1"/>
    <col min="15887" max="15887" width="12.140625" customWidth="1"/>
    <col min="15888" max="15888" width="15.7109375" customWidth="1"/>
    <col min="15890" max="15890" width="14.42578125" customWidth="1"/>
    <col min="15891" max="15891" width="12" bestFit="1" customWidth="1"/>
    <col min="16129" max="16129" width="14.28515625" customWidth="1"/>
    <col min="16130" max="16130" width="26.140625" customWidth="1"/>
    <col min="16131" max="16131" width="14.7109375" customWidth="1"/>
    <col min="16133" max="16133" width="14.5703125" customWidth="1"/>
    <col min="16135" max="16135" width="14.85546875" customWidth="1"/>
    <col min="16137" max="16137" width="14.140625" customWidth="1"/>
    <col min="16139" max="16139" width="14.140625" customWidth="1"/>
    <col min="16141" max="16141" width="13.140625" customWidth="1"/>
    <col min="16142" max="16142" width="14.5703125" customWidth="1"/>
    <col min="16143" max="16143" width="12.140625" customWidth="1"/>
    <col min="16144" max="16144" width="15.7109375" customWidth="1"/>
    <col min="16146" max="16146" width="14.42578125" customWidth="1"/>
    <col min="16147" max="16147" width="12" bestFit="1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2000</v>
      </c>
      <c r="B6">
        <v>0</v>
      </c>
      <c r="C6">
        <v>878.58693999999991</v>
      </c>
      <c r="D6">
        <v>0</v>
      </c>
      <c r="E6">
        <v>709.15305999999998</v>
      </c>
      <c r="F6">
        <v>0</v>
      </c>
      <c r="G6">
        <v>279.18589999999995</v>
      </c>
      <c r="H6">
        <v>1</v>
      </c>
      <c r="I6">
        <v>102.48592199999999</v>
      </c>
      <c r="J6">
        <v>0</v>
      </c>
      <c r="K6">
        <v>40.204065999999997</v>
      </c>
      <c r="L6">
        <v>0</v>
      </c>
      <c r="M6">
        <v>17.957155999999998</v>
      </c>
      <c r="N6">
        <v>0</v>
      </c>
      <c r="O6">
        <v>8.5098523999999998</v>
      </c>
      <c r="P6" s="3">
        <f>(B6*C6)+(D6*E6)+(F6*G6)+(H6*I6)+(J6*K6)+(L6*M6)+(N6*O6)</f>
        <v>102.48592199999999</v>
      </c>
    </row>
    <row r="7" spans="1:19" x14ac:dyDescent="0.2">
      <c r="A7">
        <v>4000</v>
      </c>
      <c r="B7">
        <v>0</v>
      </c>
      <c r="C7">
        <v>878.58693999999991</v>
      </c>
      <c r="D7">
        <v>0</v>
      </c>
      <c r="E7">
        <v>709.15305999999998</v>
      </c>
      <c r="F7">
        <v>0</v>
      </c>
      <c r="G7">
        <v>279.18589999999995</v>
      </c>
      <c r="H7">
        <v>0</v>
      </c>
      <c r="I7">
        <v>102.48592199999999</v>
      </c>
      <c r="J7">
        <v>1</v>
      </c>
      <c r="K7">
        <v>40.204065999999997</v>
      </c>
      <c r="L7">
        <v>0</v>
      </c>
      <c r="M7">
        <v>17.957155999999998</v>
      </c>
      <c r="N7">
        <v>2</v>
      </c>
      <c r="O7">
        <v>8.5098523999999998</v>
      </c>
      <c r="P7" s="3">
        <f t="shared" ref="P7:P21" si="0">(B7*C7)+(D7*E7)+(F7*G7)+(H7*I7)+(J7*K7)+(L7*M7)+(N7*O7)</f>
        <v>57.223770799999997</v>
      </c>
    </row>
    <row r="8" spans="1:19" x14ac:dyDescent="0.2">
      <c r="A8">
        <v>6000</v>
      </c>
      <c r="B8">
        <v>1</v>
      </c>
      <c r="C8">
        <v>878.58693999999991</v>
      </c>
      <c r="D8">
        <v>0</v>
      </c>
      <c r="E8">
        <v>709.15305999999998</v>
      </c>
      <c r="F8">
        <v>1</v>
      </c>
      <c r="G8">
        <v>279.18589999999995</v>
      </c>
      <c r="H8">
        <v>1</v>
      </c>
      <c r="I8">
        <v>102.48592199999999</v>
      </c>
      <c r="J8">
        <v>2</v>
      </c>
      <c r="K8">
        <v>40.204065999999997</v>
      </c>
      <c r="L8">
        <v>4</v>
      </c>
      <c r="M8">
        <v>17.957155999999998</v>
      </c>
      <c r="N8">
        <v>1</v>
      </c>
      <c r="O8">
        <v>8.5098523999999998</v>
      </c>
      <c r="P8" s="3">
        <f t="shared" si="0"/>
        <v>1421.0053703999999</v>
      </c>
    </row>
    <row r="9" spans="1:19" x14ac:dyDescent="0.2">
      <c r="A9">
        <v>8000</v>
      </c>
      <c r="B9">
        <v>0</v>
      </c>
      <c r="C9">
        <v>878.58693999999991</v>
      </c>
      <c r="D9">
        <v>0</v>
      </c>
      <c r="E9">
        <v>709.15305999999998</v>
      </c>
      <c r="F9">
        <v>1</v>
      </c>
      <c r="G9">
        <v>279.18589999999995</v>
      </c>
      <c r="H9">
        <v>0</v>
      </c>
      <c r="I9">
        <v>102.48592199999999</v>
      </c>
      <c r="J9">
        <v>1</v>
      </c>
      <c r="K9">
        <v>40.204065999999997</v>
      </c>
      <c r="L9">
        <v>0</v>
      </c>
      <c r="M9">
        <v>17.957155999999998</v>
      </c>
      <c r="N9">
        <v>0</v>
      </c>
      <c r="O9">
        <v>8.5098523999999998</v>
      </c>
      <c r="P9" s="3">
        <f t="shared" si="0"/>
        <v>319.38996599999996</v>
      </c>
    </row>
    <row r="10" spans="1:19" x14ac:dyDescent="0.2">
      <c r="A10">
        <v>10000</v>
      </c>
      <c r="B10">
        <v>65</v>
      </c>
      <c r="C10">
        <v>878.58693999999991</v>
      </c>
      <c r="D10">
        <v>26</v>
      </c>
      <c r="E10">
        <v>709.15305999999998</v>
      </c>
      <c r="F10">
        <v>66</v>
      </c>
      <c r="G10">
        <v>279.18589999999995</v>
      </c>
      <c r="H10">
        <v>140</v>
      </c>
      <c r="I10">
        <v>102.48592199999999</v>
      </c>
      <c r="J10">
        <v>257</v>
      </c>
      <c r="K10">
        <v>40.204065999999997</v>
      </c>
      <c r="L10">
        <v>325</v>
      </c>
      <c r="M10">
        <v>17.957155999999998</v>
      </c>
      <c r="N10">
        <v>221</v>
      </c>
      <c r="O10">
        <v>8.5098523999999998</v>
      </c>
      <c r="P10" s="3">
        <f t="shared" si="0"/>
        <v>126369.62718239997</v>
      </c>
    </row>
    <row r="11" spans="1:19" x14ac:dyDescent="0.2">
      <c r="A11">
        <v>20000</v>
      </c>
      <c r="B11">
        <v>38</v>
      </c>
      <c r="C11">
        <v>878.58693999999991</v>
      </c>
      <c r="D11">
        <v>50</v>
      </c>
      <c r="E11">
        <v>709.15305999999998</v>
      </c>
      <c r="F11">
        <v>159</v>
      </c>
      <c r="G11">
        <v>279.18589999999995</v>
      </c>
      <c r="H11">
        <v>348</v>
      </c>
      <c r="I11">
        <v>102.48592199999999</v>
      </c>
      <c r="J11">
        <v>643</v>
      </c>
      <c r="K11">
        <v>40.204065999999997</v>
      </c>
      <c r="L11">
        <v>615</v>
      </c>
      <c r="M11">
        <v>17.957155999999998</v>
      </c>
      <c r="N11">
        <v>401</v>
      </c>
      <c r="O11">
        <v>8.5098523999999998</v>
      </c>
      <c r="P11" s="3">
        <f t="shared" si="0"/>
        <v>189206.93186639997</v>
      </c>
    </row>
    <row r="12" spans="1:19" x14ac:dyDescent="0.2">
      <c r="A12">
        <v>30000</v>
      </c>
      <c r="B12">
        <v>10</v>
      </c>
      <c r="C12">
        <v>878.58693999999991</v>
      </c>
      <c r="D12">
        <v>26</v>
      </c>
      <c r="E12">
        <v>709.15305999999998</v>
      </c>
      <c r="F12">
        <v>58</v>
      </c>
      <c r="G12">
        <v>279.18589999999995</v>
      </c>
      <c r="H12">
        <v>196</v>
      </c>
      <c r="I12">
        <v>102.48592199999999</v>
      </c>
      <c r="J12">
        <v>364</v>
      </c>
      <c r="K12">
        <v>40.204065999999997</v>
      </c>
      <c r="L12">
        <v>384</v>
      </c>
      <c r="M12">
        <v>17.957155999999998</v>
      </c>
      <c r="N12">
        <v>260</v>
      </c>
      <c r="O12">
        <v>8.5098523999999998</v>
      </c>
      <c r="P12" s="3">
        <f t="shared" si="0"/>
        <v>87246.261423999997</v>
      </c>
    </row>
    <row r="13" spans="1:19" x14ac:dyDescent="0.2">
      <c r="A13">
        <v>40000</v>
      </c>
      <c r="B13">
        <v>3</v>
      </c>
      <c r="C13">
        <v>878.58693999999991</v>
      </c>
      <c r="D13">
        <v>16</v>
      </c>
      <c r="E13">
        <v>709.15305999999998</v>
      </c>
      <c r="F13">
        <v>56</v>
      </c>
      <c r="G13">
        <v>279.18589999999995</v>
      </c>
      <c r="H13">
        <v>130</v>
      </c>
      <c r="I13">
        <v>102.48592199999999</v>
      </c>
      <c r="J13">
        <v>250</v>
      </c>
      <c r="K13">
        <v>40.204065999999997</v>
      </c>
      <c r="L13">
        <v>290</v>
      </c>
      <c r="M13">
        <v>17.957155999999998</v>
      </c>
      <c r="N13">
        <v>195</v>
      </c>
      <c r="O13">
        <v>8.5098523999999998</v>
      </c>
      <c r="P13" s="3">
        <f t="shared" si="0"/>
        <v>59857.802997999992</v>
      </c>
      <c r="Q13" s="3">
        <f t="shared" ref="Q13:Q19" si="1">Q14+P13</f>
        <v>240327.10036439999</v>
      </c>
      <c r="R13">
        <v>3712958</v>
      </c>
      <c r="S13" s="21">
        <f t="shared" ref="S13:S20" si="2">(Q13/R13)*100</f>
        <v>6.4726587363606054</v>
      </c>
    </row>
    <row r="14" spans="1:19" x14ac:dyDescent="0.2">
      <c r="A14">
        <v>50000</v>
      </c>
      <c r="B14">
        <v>6</v>
      </c>
      <c r="C14">
        <v>878.58693999999991</v>
      </c>
      <c r="D14">
        <v>8</v>
      </c>
      <c r="E14">
        <v>709.15305999999998</v>
      </c>
      <c r="F14">
        <v>26</v>
      </c>
      <c r="G14">
        <v>279.18589999999995</v>
      </c>
      <c r="H14">
        <v>96</v>
      </c>
      <c r="I14">
        <v>102.48592199999999</v>
      </c>
      <c r="J14">
        <v>162</v>
      </c>
      <c r="K14">
        <v>40.204065999999997</v>
      </c>
      <c r="L14">
        <v>232</v>
      </c>
      <c r="M14">
        <v>17.957155999999998</v>
      </c>
      <c r="N14">
        <v>141</v>
      </c>
      <c r="O14">
        <v>8.5098523999999998</v>
      </c>
      <c r="P14" s="3">
        <f t="shared" si="0"/>
        <v>39921.236104399992</v>
      </c>
      <c r="Q14" s="3">
        <f t="shared" si="1"/>
        <v>180469.29736639999</v>
      </c>
      <c r="R14">
        <v>3712958</v>
      </c>
      <c r="S14" s="21">
        <f t="shared" si="2"/>
        <v>4.8605262264318636</v>
      </c>
    </row>
    <row r="15" spans="1:19" x14ac:dyDescent="0.2">
      <c r="A15">
        <v>60000</v>
      </c>
      <c r="B15">
        <v>1</v>
      </c>
      <c r="C15">
        <v>878.58693999999991</v>
      </c>
      <c r="D15">
        <v>12</v>
      </c>
      <c r="E15">
        <v>709.15305999999998</v>
      </c>
      <c r="F15">
        <v>43</v>
      </c>
      <c r="G15">
        <v>279.18589999999995</v>
      </c>
      <c r="H15">
        <v>111</v>
      </c>
      <c r="I15">
        <v>102.48592199999999</v>
      </c>
      <c r="J15">
        <v>235</v>
      </c>
      <c r="K15">
        <v>40.204065999999997</v>
      </c>
      <c r="L15">
        <v>240</v>
      </c>
      <c r="M15">
        <v>17.957155999999998</v>
      </c>
      <c r="N15">
        <v>169</v>
      </c>
      <c r="O15">
        <v>8.5098523999999998</v>
      </c>
      <c r="P15" s="3">
        <f t="shared" si="0"/>
        <v>47965.192707599999</v>
      </c>
      <c r="Q15" s="3">
        <f t="shared" si="1"/>
        <v>140548.061262</v>
      </c>
      <c r="R15">
        <v>3712958</v>
      </c>
      <c r="S15" s="24">
        <f t="shared" si="2"/>
        <v>3.7853393779838069</v>
      </c>
    </row>
    <row r="16" spans="1:19" x14ac:dyDescent="0.2">
      <c r="A16">
        <v>80000</v>
      </c>
      <c r="B16">
        <v>2</v>
      </c>
      <c r="C16">
        <v>878.58693999999991</v>
      </c>
      <c r="D16">
        <v>7</v>
      </c>
      <c r="E16">
        <v>709.15305999999998</v>
      </c>
      <c r="F16">
        <v>17</v>
      </c>
      <c r="G16">
        <v>279.18589999999995</v>
      </c>
      <c r="H16">
        <v>72</v>
      </c>
      <c r="I16">
        <v>102.48592199999999</v>
      </c>
      <c r="J16">
        <v>152</v>
      </c>
      <c r="K16">
        <v>40.204065999999997</v>
      </c>
      <c r="L16">
        <v>181</v>
      </c>
      <c r="M16">
        <v>17.957155999999998</v>
      </c>
      <c r="N16">
        <v>108</v>
      </c>
      <c r="O16">
        <v>8.5098523999999998</v>
      </c>
      <c r="P16" s="3">
        <f t="shared" si="0"/>
        <v>29126.719311199995</v>
      </c>
      <c r="Q16" s="3">
        <f t="shared" si="1"/>
        <v>92582.868554399989</v>
      </c>
      <c r="R16">
        <v>3712958</v>
      </c>
      <c r="S16" s="24">
        <f t="shared" si="2"/>
        <v>2.4935070247064468</v>
      </c>
    </row>
    <row r="17" spans="1:19" x14ac:dyDescent="0.2">
      <c r="A17">
        <v>100000</v>
      </c>
      <c r="B17">
        <v>2</v>
      </c>
      <c r="C17">
        <v>878.58693999999991</v>
      </c>
      <c r="D17">
        <v>1</v>
      </c>
      <c r="E17">
        <v>709.15305999999998</v>
      </c>
      <c r="F17">
        <v>11</v>
      </c>
      <c r="G17">
        <v>279.18589999999995</v>
      </c>
      <c r="H17">
        <v>40</v>
      </c>
      <c r="I17">
        <v>102.48592199999999</v>
      </c>
      <c r="J17">
        <v>87</v>
      </c>
      <c r="K17">
        <v>40.204065999999997</v>
      </c>
      <c r="L17">
        <v>109</v>
      </c>
      <c r="M17">
        <v>17.957155999999998</v>
      </c>
      <c r="N17">
        <v>85</v>
      </c>
      <c r="O17">
        <v>8.5098523999999998</v>
      </c>
      <c r="P17" s="3">
        <f t="shared" si="0"/>
        <v>15815.229919999998</v>
      </c>
      <c r="Q17" s="3">
        <f t="shared" si="1"/>
        <v>63456.149243199994</v>
      </c>
      <c r="R17">
        <v>3712958</v>
      </c>
      <c r="S17" s="24">
        <f t="shared" si="2"/>
        <v>1.7090457054240848</v>
      </c>
    </row>
    <row r="18" spans="1:19" x14ac:dyDescent="0.2">
      <c r="A18">
        <v>120000</v>
      </c>
      <c r="B18">
        <v>0</v>
      </c>
      <c r="C18">
        <v>878.58693999999991</v>
      </c>
      <c r="D18">
        <v>4</v>
      </c>
      <c r="E18">
        <v>709.15305999999998</v>
      </c>
      <c r="F18">
        <v>13</v>
      </c>
      <c r="G18">
        <v>279.18589999999995</v>
      </c>
      <c r="H18">
        <v>29</v>
      </c>
      <c r="I18">
        <v>102.48592199999999</v>
      </c>
      <c r="J18">
        <v>66</v>
      </c>
      <c r="K18">
        <v>40.204065999999997</v>
      </c>
      <c r="L18">
        <v>79</v>
      </c>
      <c r="M18">
        <v>17.957155999999998</v>
      </c>
      <c r="N18">
        <v>42</v>
      </c>
      <c r="O18">
        <v>8.5098523999999998</v>
      </c>
      <c r="P18" s="3">
        <f t="shared" si="0"/>
        <v>13867.6181588</v>
      </c>
      <c r="Q18" s="3">
        <f t="shared" si="1"/>
        <v>47640.919323199996</v>
      </c>
      <c r="R18">
        <v>3712958</v>
      </c>
      <c r="S18" s="24">
        <f t="shared" si="2"/>
        <v>1.2830987940935501</v>
      </c>
    </row>
    <row r="19" spans="1:19" x14ac:dyDescent="0.2">
      <c r="A19">
        <v>140000</v>
      </c>
      <c r="B19">
        <v>1</v>
      </c>
      <c r="C19">
        <v>878.58693999999991</v>
      </c>
      <c r="D19">
        <v>2</v>
      </c>
      <c r="E19">
        <v>709.15305999999998</v>
      </c>
      <c r="F19">
        <v>16</v>
      </c>
      <c r="G19">
        <v>279.18589999999995</v>
      </c>
      <c r="H19">
        <v>46</v>
      </c>
      <c r="I19">
        <v>102.48592199999999</v>
      </c>
      <c r="J19">
        <v>93</v>
      </c>
      <c r="K19">
        <v>40.204065999999997</v>
      </c>
      <c r="L19">
        <v>89</v>
      </c>
      <c r="M19">
        <v>17.957155999999998</v>
      </c>
      <c r="N19">
        <v>92</v>
      </c>
      <c r="O19">
        <v>8.5098523999999998</v>
      </c>
      <c r="P19" s="3">
        <f t="shared" si="0"/>
        <v>17598.291314800001</v>
      </c>
      <c r="Q19" s="3">
        <f t="shared" si="1"/>
        <v>33773.3011644</v>
      </c>
      <c r="R19">
        <v>3712958</v>
      </c>
      <c r="S19" s="24">
        <f t="shared" si="2"/>
        <v>0.90960633447510053</v>
      </c>
    </row>
    <row r="20" spans="1:19" x14ac:dyDescent="0.2">
      <c r="A20" t="s">
        <v>10</v>
      </c>
      <c r="B20">
        <v>3</v>
      </c>
      <c r="C20">
        <v>878.58693999999991</v>
      </c>
      <c r="D20">
        <v>5</v>
      </c>
      <c r="E20">
        <v>709.15305999999998</v>
      </c>
      <c r="F20">
        <v>6</v>
      </c>
      <c r="G20">
        <v>279.18589999999995</v>
      </c>
      <c r="H20">
        <v>29</v>
      </c>
      <c r="I20">
        <v>102.48592199999999</v>
      </c>
      <c r="J20">
        <v>75</v>
      </c>
      <c r="K20">
        <v>40.204065999999997</v>
      </c>
      <c r="L20">
        <v>90</v>
      </c>
      <c r="M20">
        <v>17.957155999999998</v>
      </c>
      <c r="N20">
        <v>84</v>
      </c>
      <c r="O20">
        <v>8.5098523999999998</v>
      </c>
      <c r="P20" s="3">
        <f t="shared" si="0"/>
        <v>16175.009849599997</v>
      </c>
      <c r="Q20" s="3">
        <f>P20</f>
        <v>16175.009849599997</v>
      </c>
      <c r="R20">
        <v>3712958</v>
      </c>
      <c r="S20" s="24">
        <f t="shared" si="2"/>
        <v>0.43563675779796052</v>
      </c>
    </row>
    <row r="21" spans="1:19" x14ac:dyDescent="0.2">
      <c r="A21" t="s">
        <v>3</v>
      </c>
      <c r="B21">
        <f t="shared" ref="B21:N21" si="3">SUM(B6:B20)</f>
        <v>132</v>
      </c>
      <c r="C21">
        <v>878.58693999999991</v>
      </c>
      <c r="D21">
        <f t="shared" si="3"/>
        <v>157</v>
      </c>
      <c r="E21">
        <v>709.15305999999998</v>
      </c>
      <c r="F21">
        <f t="shared" si="3"/>
        <v>473</v>
      </c>
      <c r="G21">
        <v>279.18589999999995</v>
      </c>
      <c r="H21">
        <f t="shared" si="3"/>
        <v>1239</v>
      </c>
      <c r="I21">
        <v>102.48592199999999</v>
      </c>
      <c r="J21">
        <f t="shared" si="3"/>
        <v>2388</v>
      </c>
      <c r="K21">
        <v>40.204065999999997</v>
      </c>
      <c r="L21">
        <f t="shared" si="3"/>
        <v>2638</v>
      </c>
      <c r="M21">
        <v>17.957155999999998</v>
      </c>
      <c r="N21">
        <f t="shared" si="3"/>
        <v>1801</v>
      </c>
      <c r="O21">
        <v>8.5098523999999998</v>
      </c>
      <c r="P21" s="3">
        <f t="shared" si="0"/>
        <v>645050.02586639987</v>
      </c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10</v>
      </c>
      <c r="B32" s="14">
        <v>5.0000000000000001E-4</v>
      </c>
      <c r="C32" s="4" t="s">
        <v>86</v>
      </c>
      <c r="K32" s="4">
        <v>2.0640730366801607</v>
      </c>
      <c r="L32" s="4">
        <v>14362.678832464908</v>
      </c>
      <c r="M32" s="20">
        <f t="shared" ref="M32:M37" si="4">POWER(B32,1/K32)</f>
        <v>2.5160562947945907E-2</v>
      </c>
      <c r="N32" s="8">
        <f t="shared" ref="N32:N37" si="5">L32/M32</f>
        <v>570840.91727913695</v>
      </c>
      <c r="O32" s="5">
        <v>3712958</v>
      </c>
      <c r="P32" s="8">
        <f>O32*(K32/(1-K32))*POWER(L32,K32)*(-1)*POWER(N32,1-K32)</f>
        <v>2055695373.6065705</v>
      </c>
      <c r="Q32" s="9">
        <f t="shared" ref="Q32:Q37" si="6">B32*O32</f>
        <v>1856.479</v>
      </c>
      <c r="R32" s="8">
        <f t="shared" ref="R32:R37" si="7">P32/Q32</f>
        <v>1107308.7137568323</v>
      </c>
      <c r="S32" s="4">
        <f t="shared" ref="S32:S37" si="8">P32*8.6991*1.23</f>
        <v>21995720538.185326</v>
      </c>
    </row>
    <row r="33" spans="1:19" x14ac:dyDescent="0.2">
      <c r="A33" t="s">
        <v>10</v>
      </c>
      <c r="B33" s="14">
        <v>1E-3</v>
      </c>
      <c r="C33" s="4" t="s">
        <v>86</v>
      </c>
      <c r="K33" s="4">
        <v>2.0640730366801607</v>
      </c>
      <c r="L33" s="4">
        <v>14362.678832464908</v>
      </c>
      <c r="M33" s="20">
        <f t="shared" si="4"/>
        <v>3.5201653133166852E-2</v>
      </c>
      <c r="N33" s="8">
        <f t="shared" si="5"/>
        <v>408011.48679385317</v>
      </c>
      <c r="O33" s="5">
        <f>R13</f>
        <v>3712958</v>
      </c>
      <c r="P33" s="8">
        <f>O33*(K33/(1-K33))*POWER(L33,K33)*(POWER(N32,1-K33)-POWER(N33,1-K33))+P32</f>
        <v>2938637719.8687148</v>
      </c>
      <c r="Q33" s="9">
        <f t="shared" si="6"/>
        <v>3712.9580000000001</v>
      </c>
      <c r="R33" s="8">
        <f t="shared" si="7"/>
        <v>791454.6083927463</v>
      </c>
      <c r="S33" s="4">
        <f t="shared" si="8"/>
        <v>31443109168.359219</v>
      </c>
    </row>
    <row r="34" spans="1:19" x14ac:dyDescent="0.2">
      <c r="A34" t="s">
        <v>10</v>
      </c>
      <c r="B34" s="14">
        <v>2.5000000000000001E-3</v>
      </c>
      <c r="C34" s="4" t="s">
        <v>86</v>
      </c>
      <c r="K34" s="4">
        <v>2.0640730366801607</v>
      </c>
      <c r="L34" s="4">
        <v>14362.678832464908</v>
      </c>
      <c r="M34" s="20">
        <f t="shared" si="4"/>
        <v>5.4872737743518925E-2</v>
      </c>
      <c r="N34" s="8">
        <f t="shared" si="5"/>
        <v>261745.25680853784</v>
      </c>
      <c r="O34" s="5">
        <f>R14</f>
        <v>3712958</v>
      </c>
      <c r="P34" s="8">
        <f>O34*(K34/(1-K34))*POWER(L34,K34)*(POWER(N33,1-K34)-POWER(N34,1-K34))+P33</f>
        <v>4712946262.2391529</v>
      </c>
      <c r="Q34" s="9">
        <f t="shared" si="6"/>
        <v>9282.3950000000004</v>
      </c>
      <c r="R34" s="8">
        <f t="shared" si="7"/>
        <v>507729.55279743567</v>
      </c>
      <c r="S34" s="4">
        <f t="shared" si="8"/>
        <v>50428020720.70887</v>
      </c>
    </row>
    <row r="35" spans="1:19" x14ac:dyDescent="0.2">
      <c r="A35" t="s">
        <v>70</v>
      </c>
      <c r="B35" s="14">
        <v>5.0000000000000001E-3</v>
      </c>
      <c r="C35">
        <f>S20/100</f>
        <v>4.356367577979605E-3</v>
      </c>
      <c r="D35">
        <f>S19/100</f>
        <v>9.0960633447510052E-3</v>
      </c>
      <c r="E35">
        <v>200000</v>
      </c>
      <c r="F35">
        <v>140000</v>
      </c>
      <c r="G35">
        <f>D35/C35</f>
        <v>2.0879926181457753</v>
      </c>
      <c r="H35">
        <f>LN(G35)</f>
        <v>0.73620313464334552</v>
      </c>
      <c r="I35">
        <f>E35/F35</f>
        <v>1.4285714285714286</v>
      </c>
      <c r="J35">
        <f>LN(I35)</f>
        <v>0.35667494393873239</v>
      </c>
      <c r="K35" s="4">
        <f>H35/J35</f>
        <v>2.0640730366801607</v>
      </c>
      <c r="L35" s="4">
        <f>F35*POWER(D35,1/K35)</f>
        <v>14362.678832464908</v>
      </c>
      <c r="M35" s="20">
        <f t="shared" si="4"/>
        <v>7.6771377671908628E-2</v>
      </c>
      <c r="N35" s="8">
        <f t="shared" si="5"/>
        <v>187083.77090542103</v>
      </c>
      <c r="O35" s="5">
        <f>R15</f>
        <v>3712958</v>
      </c>
      <c r="P35" s="8">
        <f>O35*(K35/(1-K35))*POWER(L35,K35)*(POWER(N34,1-K35)-POWER(N35,1-K35))+P34</f>
        <v>6737205247.3086109</v>
      </c>
      <c r="Q35" s="9">
        <f t="shared" si="6"/>
        <v>18564.79</v>
      </c>
      <c r="R35" s="8">
        <f t="shared" si="7"/>
        <v>362902.31385911774</v>
      </c>
      <c r="S35" s="4">
        <f t="shared" si="8"/>
        <v>72087375265.240677</v>
      </c>
    </row>
    <row r="36" spans="1:19" x14ac:dyDescent="0.2">
      <c r="A36" t="s">
        <v>73</v>
      </c>
      <c r="B36" s="14">
        <v>0.01</v>
      </c>
      <c r="C36">
        <f>S19/100</f>
        <v>9.0960633447510052E-3</v>
      </c>
      <c r="D36">
        <f>S18/100</f>
        <v>1.2830987940935502E-2</v>
      </c>
      <c r="E36">
        <v>140000</v>
      </c>
      <c r="F36">
        <v>120000</v>
      </c>
      <c r="G36">
        <f>D36/C36</f>
        <v>1.4106089035032701</v>
      </c>
      <c r="H36">
        <f>LN(G36)</f>
        <v>0.34402145762745245</v>
      </c>
      <c r="I36">
        <f>E36/F36</f>
        <v>1.1666666666666667</v>
      </c>
      <c r="J36">
        <f>LN(I36)</f>
        <v>0.15415067982725836</v>
      </c>
      <c r="K36" s="4">
        <f>H36/J36</f>
        <v>2.2317219619982458</v>
      </c>
      <c r="L36" s="4">
        <f>F36*POWER(D36,1/K36)</f>
        <v>17042.053875133061</v>
      </c>
      <c r="M36" s="20">
        <f t="shared" si="4"/>
        <v>0.12700798252081161</v>
      </c>
      <c r="N36" s="8">
        <f t="shared" si="5"/>
        <v>134180.96671475386</v>
      </c>
      <c r="O36" s="5">
        <f>R16</f>
        <v>3712958</v>
      </c>
      <c r="P36" s="8">
        <f>O36*(K36/(1-K36))*POWER(L36,K36)*(POWER(N35,1-K36)-POWER(N36,1-K36))+P35</f>
        <v>9769706624.451828</v>
      </c>
      <c r="Q36" s="9">
        <f t="shared" si="6"/>
        <v>37129.58</v>
      </c>
      <c r="R36" s="8">
        <f t="shared" si="7"/>
        <v>263124.61989744636</v>
      </c>
      <c r="S36" s="4">
        <f t="shared" si="8"/>
        <v>104534815523.02573</v>
      </c>
    </row>
    <row r="37" spans="1:19" x14ac:dyDescent="0.2">
      <c r="A37" t="s">
        <v>74</v>
      </c>
      <c r="B37" s="14">
        <v>0.02</v>
      </c>
      <c r="C37">
        <f>S17/100</f>
        <v>1.7090457054240848E-2</v>
      </c>
      <c r="D37">
        <f>S16/100</f>
        <v>2.493507024706447E-2</v>
      </c>
      <c r="E37">
        <v>100000</v>
      </c>
      <c r="F37">
        <v>80000</v>
      </c>
      <c r="G37">
        <f>D37/C37</f>
        <v>1.4590054653264553</v>
      </c>
      <c r="H37">
        <f>LN(G37)</f>
        <v>0.37775501547362933</v>
      </c>
      <c r="I37">
        <f>E37/F37</f>
        <v>1.25</v>
      </c>
      <c r="J37">
        <f>LN(I37)</f>
        <v>0.22314355131420976</v>
      </c>
      <c r="K37" s="4">
        <f>H37/J37</f>
        <v>1.6928789259148711</v>
      </c>
      <c r="L37" s="4">
        <f>F37*POWER(D37,1/K37)</f>
        <v>9037.9608858249539</v>
      </c>
      <c r="M37" s="20">
        <f t="shared" si="4"/>
        <v>9.9174938744084576E-2</v>
      </c>
      <c r="N37" s="8">
        <f t="shared" si="5"/>
        <v>91131.499552996043</v>
      </c>
      <c r="O37" s="5">
        <f>R17</f>
        <v>3712958</v>
      </c>
      <c r="P37" s="8">
        <f>O37*(K37/(1-K37))*POWER(L37,K37)*(POWER(N36,1-K37)-POWER(N37,1-K37))+P36</f>
        <v>13657626281.33519</v>
      </c>
      <c r="Q37" s="9">
        <f t="shared" si="6"/>
        <v>74259.16</v>
      </c>
      <c r="R37" s="8">
        <f t="shared" si="7"/>
        <v>183918.40523559909</v>
      </c>
      <c r="S37" s="4">
        <f t="shared" si="8"/>
        <v>146135139844.27441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2000</v>
      </c>
      <c r="B50">
        <v>0</v>
      </c>
      <c r="C50">
        <v>2333.0747999999999</v>
      </c>
      <c r="D50">
        <v>0</v>
      </c>
      <c r="E50">
        <v>1211.04746</v>
      </c>
      <c r="F50">
        <v>0</v>
      </c>
      <c r="G50">
        <v>474.36227999999994</v>
      </c>
      <c r="H50">
        <v>1</v>
      </c>
      <c r="I50">
        <v>195.40499999999997</v>
      </c>
      <c r="J50">
        <v>1</v>
      </c>
      <c r="K50">
        <v>79.858281999999988</v>
      </c>
      <c r="L50">
        <v>0</v>
      </c>
      <c r="M50">
        <v>29.541497999999997</v>
      </c>
      <c r="N50">
        <v>0</v>
      </c>
      <c r="O50">
        <v>10.474046799999998</v>
      </c>
      <c r="P50" s="3">
        <f>(B50*C50)+(D50*E50)+(F50*G50)+(H50*I50)+(J50*K50)+(L50*M50)+(N50*O50)</f>
        <v>275.26328199999995</v>
      </c>
      <c r="Q50" s="3"/>
    </row>
    <row r="51" spans="1:19" x14ac:dyDescent="0.2">
      <c r="A51">
        <v>4000</v>
      </c>
      <c r="B51">
        <v>0</v>
      </c>
      <c r="C51">
        <v>2333.0747999999999</v>
      </c>
      <c r="D51">
        <v>1</v>
      </c>
      <c r="E51">
        <v>1211.04746</v>
      </c>
      <c r="F51">
        <v>1</v>
      </c>
      <c r="G51">
        <v>474.36227999999994</v>
      </c>
      <c r="H51">
        <v>0</v>
      </c>
      <c r="I51">
        <v>195.40499999999997</v>
      </c>
      <c r="J51">
        <v>1</v>
      </c>
      <c r="K51">
        <v>79.858281999999988</v>
      </c>
      <c r="L51">
        <v>4</v>
      </c>
      <c r="M51">
        <v>29.541497999999997</v>
      </c>
      <c r="N51">
        <v>0</v>
      </c>
      <c r="O51">
        <v>10.474046799999998</v>
      </c>
      <c r="P51" s="3">
        <f t="shared" ref="P51:P65" si="9">(B51*C51)+(D51*E51)+(F51*G51)+(H51*I51)+(J51*K51)+(L51*M51)+(N51*O51)</f>
        <v>1883.4340139999999</v>
      </c>
      <c r="Q51" s="3"/>
    </row>
    <row r="52" spans="1:19" x14ac:dyDescent="0.2">
      <c r="A52">
        <v>6000</v>
      </c>
      <c r="B52">
        <v>0</v>
      </c>
      <c r="C52">
        <v>2333.0747999999999</v>
      </c>
      <c r="D52">
        <v>0</v>
      </c>
      <c r="E52">
        <v>1211.04746</v>
      </c>
      <c r="F52">
        <v>1</v>
      </c>
      <c r="G52">
        <v>474.36227999999994</v>
      </c>
      <c r="H52">
        <v>0</v>
      </c>
      <c r="I52">
        <v>195.40499999999997</v>
      </c>
      <c r="J52">
        <v>0</v>
      </c>
      <c r="K52">
        <v>79.858281999999988</v>
      </c>
      <c r="L52">
        <v>4</v>
      </c>
      <c r="M52">
        <v>29.541497999999997</v>
      </c>
      <c r="N52">
        <v>1</v>
      </c>
      <c r="O52">
        <v>10.474046799999998</v>
      </c>
      <c r="P52" s="3">
        <f t="shared" si="9"/>
        <v>603.0023187999999</v>
      </c>
      <c r="Q52" s="3"/>
    </row>
    <row r="53" spans="1:19" x14ac:dyDescent="0.2">
      <c r="A53">
        <v>8000</v>
      </c>
      <c r="B53">
        <v>0</v>
      </c>
      <c r="C53">
        <v>2333.0747999999999</v>
      </c>
      <c r="D53">
        <v>0</v>
      </c>
      <c r="E53">
        <v>1211.04746</v>
      </c>
      <c r="F53">
        <v>0</v>
      </c>
      <c r="G53">
        <v>474.36227999999994</v>
      </c>
      <c r="H53">
        <v>1</v>
      </c>
      <c r="I53">
        <v>195.40499999999997</v>
      </c>
      <c r="J53">
        <v>0</v>
      </c>
      <c r="K53">
        <v>79.858281999999988</v>
      </c>
      <c r="L53">
        <v>0</v>
      </c>
      <c r="M53">
        <v>29.541497999999997</v>
      </c>
      <c r="N53">
        <v>1</v>
      </c>
      <c r="O53">
        <v>10.474046799999998</v>
      </c>
      <c r="P53" s="3">
        <f t="shared" si="9"/>
        <v>205.87904679999997</v>
      </c>
      <c r="Q53" s="3"/>
    </row>
    <row r="54" spans="1:19" x14ac:dyDescent="0.2">
      <c r="A54">
        <v>10000</v>
      </c>
      <c r="B54">
        <v>5</v>
      </c>
      <c r="C54">
        <v>2333.0747999999999</v>
      </c>
      <c r="D54">
        <v>7</v>
      </c>
      <c r="E54">
        <v>1211.04746</v>
      </c>
      <c r="F54">
        <v>25</v>
      </c>
      <c r="G54">
        <v>474.36227999999994</v>
      </c>
      <c r="H54">
        <v>93</v>
      </c>
      <c r="I54">
        <v>195.40499999999997</v>
      </c>
      <c r="J54">
        <v>222</v>
      </c>
      <c r="K54">
        <v>79.858281999999988</v>
      </c>
      <c r="L54">
        <v>408</v>
      </c>
      <c r="M54">
        <v>29.541497999999997</v>
      </c>
      <c r="N54">
        <v>432</v>
      </c>
      <c r="O54">
        <v>10.474046799999998</v>
      </c>
      <c r="P54" s="3">
        <f t="shared" si="9"/>
        <v>84480.686225600002</v>
      </c>
      <c r="Q54" s="3">
        <f t="shared" ref="Q54:Q62" si="10">Q55+P54</f>
        <v>353924.27918680001</v>
      </c>
      <c r="R54">
        <v>3743213</v>
      </c>
      <c r="S54">
        <f>Q54/R54*100</f>
        <v>9.4550932363934415</v>
      </c>
    </row>
    <row r="55" spans="1:19" x14ac:dyDescent="0.2">
      <c r="A55">
        <v>20000</v>
      </c>
      <c r="B55">
        <v>3</v>
      </c>
      <c r="C55">
        <v>2333.0747999999999</v>
      </c>
      <c r="D55">
        <v>7</v>
      </c>
      <c r="E55">
        <v>1211.04746</v>
      </c>
      <c r="F55">
        <v>50</v>
      </c>
      <c r="G55">
        <v>474.36227999999994</v>
      </c>
      <c r="H55">
        <v>106</v>
      </c>
      <c r="I55">
        <v>195.40499999999997</v>
      </c>
      <c r="J55">
        <v>241</v>
      </c>
      <c r="K55">
        <v>79.858281999999988</v>
      </c>
      <c r="L55">
        <v>455</v>
      </c>
      <c r="M55">
        <v>29.541497999999997</v>
      </c>
      <c r="N55">
        <v>443</v>
      </c>
      <c r="O55">
        <v>10.474046799999998</v>
      </c>
      <c r="P55" s="3">
        <f t="shared" si="9"/>
        <v>97234.830904399991</v>
      </c>
      <c r="Q55" s="3">
        <f t="shared" si="10"/>
        <v>269443.59296119999</v>
      </c>
      <c r="R55">
        <v>3743213</v>
      </c>
      <c r="S55">
        <f>Q55/R55*100</f>
        <v>7.1981902435474545</v>
      </c>
    </row>
    <row r="56" spans="1:19" x14ac:dyDescent="0.2">
      <c r="A56">
        <v>30000</v>
      </c>
      <c r="B56">
        <v>1</v>
      </c>
      <c r="C56">
        <v>2333.0747999999999</v>
      </c>
      <c r="D56">
        <v>6</v>
      </c>
      <c r="E56">
        <v>1211.04746</v>
      </c>
      <c r="F56">
        <v>21</v>
      </c>
      <c r="G56">
        <v>474.36227999999994</v>
      </c>
      <c r="H56">
        <v>72</v>
      </c>
      <c r="I56">
        <v>195.40499999999997</v>
      </c>
      <c r="J56">
        <v>126</v>
      </c>
      <c r="K56">
        <v>79.858281999999988</v>
      </c>
      <c r="L56">
        <v>214</v>
      </c>
      <c r="M56">
        <v>29.541497999999997</v>
      </c>
      <c r="N56">
        <v>266</v>
      </c>
      <c r="O56">
        <v>10.474046799999998</v>
      </c>
      <c r="P56" s="3">
        <f t="shared" si="9"/>
        <v>52800.247992800003</v>
      </c>
      <c r="Q56" s="3">
        <f t="shared" si="10"/>
        <v>172208.76205679998</v>
      </c>
      <c r="R56">
        <v>3743213</v>
      </c>
      <c r="S56">
        <f>Q56/R56*100</f>
        <v>4.6005600551397956</v>
      </c>
    </row>
    <row r="57" spans="1:19" x14ac:dyDescent="0.2">
      <c r="A57">
        <v>40000</v>
      </c>
      <c r="B57">
        <v>1</v>
      </c>
      <c r="C57">
        <v>2333.0747999999999</v>
      </c>
      <c r="D57">
        <v>2</v>
      </c>
      <c r="E57">
        <v>1211.04746</v>
      </c>
      <c r="F57">
        <v>8</v>
      </c>
      <c r="G57">
        <v>474.36227999999994</v>
      </c>
      <c r="H57">
        <v>44</v>
      </c>
      <c r="I57">
        <v>195.40499999999997</v>
      </c>
      <c r="J57">
        <v>90</v>
      </c>
      <c r="K57">
        <v>79.858281999999988</v>
      </c>
      <c r="L57">
        <v>133</v>
      </c>
      <c r="M57">
        <v>29.541497999999997</v>
      </c>
      <c r="N57">
        <v>160</v>
      </c>
      <c r="O57">
        <v>10.474046799999998</v>
      </c>
      <c r="P57" s="3">
        <f t="shared" si="9"/>
        <v>29940.000061999999</v>
      </c>
      <c r="Q57" s="3">
        <f t="shared" si="10"/>
        <v>119408.51406399999</v>
      </c>
      <c r="R57">
        <v>3743213</v>
      </c>
      <c r="S57">
        <f t="shared" ref="S57:S63" si="11">Q57/R57*100</f>
        <v>3.1900005173095942</v>
      </c>
    </row>
    <row r="58" spans="1:19" x14ac:dyDescent="0.2">
      <c r="A58">
        <v>50000</v>
      </c>
      <c r="B58">
        <v>0</v>
      </c>
      <c r="C58">
        <v>2333.0747999999999</v>
      </c>
      <c r="D58">
        <v>5</v>
      </c>
      <c r="E58">
        <v>1211.04746</v>
      </c>
      <c r="F58">
        <v>16</v>
      </c>
      <c r="G58">
        <v>474.36227999999994</v>
      </c>
      <c r="H58">
        <v>19</v>
      </c>
      <c r="I58">
        <v>195.40499999999997</v>
      </c>
      <c r="J58">
        <v>59</v>
      </c>
      <c r="K58">
        <v>79.858281999999988</v>
      </c>
      <c r="L58">
        <v>119</v>
      </c>
      <c r="M58">
        <v>29.541497999999997</v>
      </c>
      <c r="N58">
        <v>113</v>
      </c>
      <c r="O58">
        <v>10.474046799999998</v>
      </c>
      <c r="P58" s="3">
        <f t="shared" si="9"/>
        <v>26768.372968399999</v>
      </c>
      <c r="Q58" s="3">
        <f t="shared" si="10"/>
        <v>89468.514001999996</v>
      </c>
      <c r="R58">
        <v>3743213</v>
      </c>
      <c r="S58">
        <f t="shared" si="11"/>
        <v>2.3901528981118627</v>
      </c>
    </row>
    <row r="59" spans="1:19" x14ac:dyDescent="0.2">
      <c r="A59">
        <v>60000</v>
      </c>
      <c r="B59">
        <v>0</v>
      </c>
      <c r="C59">
        <v>2333.0747999999999</v>
      </c>
      <c r="D59">
        <v>0</v>
      </c>
      <c r="E59">
        <v>1211.04746</v>
      </c>
      <c r="F59">
        <v>14</v>
      </c>
      <c r="G59">
        <v>474.36227999999994</v>
      </c>
      <c r="H59">
        <v>33</v>
      </c>
      <c r="I59">
        <v>195.40499999999997</v>
      </c>
      <c r="J59">
        <v>64</v>
      </c>
      <c r="K59">
        <v>79.858281999999988</v>
      </c>
      <c r="L59">
        <v>113</v>
      </c>
      <c r="M59">
        <v>29.541497999999997</v>
      </c>
      <c r="N59">
        <v>116</v>
      </c>
      <c r="O59">
        <v>10.474046799999998</v>
      </c>
      <c r="P59" s="3">
        <f t="shared" si="9"/>
        <v>22753.545670799998</v>
      </c>
      <c r="Q59" s="3">
        <f t="shared" si="10"/>
        <v>62700.141033599997</v>
      </c>
      <c r="R59">
        <v>3743213</v>
      </c>
      <c r="S59">
        <f t="shared" si="11"/>
        <v>1.6750353515442482</v>
      </c>
    </row>
    <row r="60" spans="1:19" x14ac:dyDescent="0.2">
      <c r="A60">
        <v>80000</v>
      </c>
      <c r="B60">
        <v>0</v>
      </c>
      <c r="C60">
        <v>2333.0747999999999</v>
      </c>
      <c r="D60">
        <v>1</v>
      </c>
      <c r="E60">
        <v>1211.04746</v>
      </c>
      <c r="F60">
        <v>5</v>
      </c>
      <c r="G60">
        <v>474.36227999999994</v>
      </c>
      <c r="H60">
        <v>16</v>
      </c>
      <c r="I60">
        <v>195.40499999999997</v>
      </c>
      <c r="J60">
        <v>34</v>
      </c>
      <c r="K60">
        <v>79.858281999999988</v>
      </c>
      <c r="L60">
        <v>90</v>
      </c>
      <c r="M60">
        <v>29.541497999999997</v>
      </c>
      <c r="N60">
        <v>82</v>
      </c>
      <c r="O60">
        <v>10.474046799999998</v>
      </c>
      <c r="P60" s="3">
        <f t="shared" si="9"/>
        <v>12942.127105599999</v>
      </c>
      <c r="Q60" s="3">
        <f t="shared" si="10"/>
        <v>39946.595362799999</v>
      </c>
      <c r="R60">
        <v>3743213</v>
      </c>
      <c r="S60">
        <f t="shared" si="11"/>
        <v>1.0671739856321294</v>
      </c>
    </row>
    <row r="61" spans="1:19" x14ac:dyDescent="0.2">
      <c r="A61">
        <v>100000</v>
      </c>
      <c r="B61">
        <v>1</v>
      </c>
      <c r="C61">
        <v>2333.0747999999999</v>
      </c>
      <c r="D61">
        <v>0</v>
      </c>
      <c r="E61">
        <v>1211.04746</v>
      </c>
      <c r="F61">
        <v>0</v>
      </c>
      <c r="G61">
        <v>474.36227999999994</v>
      </c>
      <c r="H61">
        <v>3</v>
      </c>
      <c r="I61">
        <v>195.40499999999997</v>
      </c>
      <c r="J61">
        <v>19</v>
      </c>
      <c r="K61">
        <v>79.858281999999988</v>
      </c>
      <c r="L61">
        <v>33</v>
      </c>
      <c r="M61">
        <v>29.541497999999997</v>
      </c>
      <c r="N61">
        <v>43</v>
      </c>
      <c r="O61">
        <v>10.474046799999998</v>
      </c>
      <c r="P61" s="3">
        <f t="shared" si="9"/>
        <v>5861.8506043999996</v>
      </c>
      <c r="Q61" s="3">
        <f t="shared" si="10"/>
        <v>27004.468257199998</v>
      </c>
      <c r="R61">
        <v>3743213</v>
      </c>
      <c r="S61">
        <f t="shared" si="11"/>
        <v>0.72142483628903831</v>
      </c>
    </row>
    <row r="62" spans="1:19" x14ac:dyDescent="0.2">
      <c r="A62">
        <v>120000</v>
      </c>
      <c r="B62">
        <v>1</v>
      </c>
      <c r="C62">
        <v>2333.0747999999999</v>
      </c>
      <c r="D62">
        <v>0</v>
      </c>
      <c r="E62">
        <v>1211.04746</v>
      </c>
      <c r="F62">
        <v>5</v>
      </c>
      <c r="G62">
        <v>474.36227999999994</v>
      </c>
      <c r="H62">
        <v>4</v>
      </c>
      <c r="I62">
        <v>195.40499999999997</v>
      </c>
      <c r="J62">
        <v>12</v>
      </c>
      <c r="K62">
        <v>79.858281999999988</v>
      </c>
      <c r="L62">
        <v>24</v>
      </c>
      <c r="M62">
        <v>29.541497999999997</v>
      </c>
      <c r="N62">
        <v>35</v>
      </c>
      <c r="O62">
        <v>10.474046799999998</v>
      </c>
      <c r="P62" s="3">
        <f t="shared" si="9"/>
        <v>7520.3931739999989</v>
      </c>
      <c r="Q62" s="3">
        <f t="shared" si="10"/>
        <v>21142.6176528</v>
      </c>
      <c r="R62">
        <v>3743213</v>
      </c>
      <c r="S62">
        <f t="shared" si="11"/>
        <v>0.56482539606482451</v>
      </c>
    </row>
    <row r="63" spans="1:19" x14ac:dyDescent="0.2">
      <c r="A63">
        <v>140000</v>
      </c>
      <c r="B63">
        <v>0</v>
      </c>
      <c r="C63">
        <v>2333.0747999999999</v>
      </c>
      <c r="D63">
        <v>2</v>
      </c>
      <c r="E63">
        <v>1211.04746</v>
      </c>
      <c r="F63">
        <v>1</v>
      </c>
      <c r="G63">
        <v>474.36227999999994</v>
      </c>
      <c r="H63">
        <v>6</v>
      </c>
      <c r="I63">
        <v>195.40499999999997</v>
      </c>
      <c r="J63">
        <v>22</v>
      </c>
      <c r="K63">
        <v>79.858281999999988</v>
      </c>
      <c r="L63">
        <v>40</v>
      </c>
      <c r="M63">
        <v>29.541497999999997</v>
      </c>
      <c r="N63">
        <v>46</v>
      </c>
      <c r="O63">
        <v>10.474046799999998</v>
      </c>
      <c r="P63" s="3">
        <f t="shared" si="9"/>
        <v>7489.2354767999996</v>
      </c>
      <c r="Q63" s="3">
        <f>P64+P63</f>
        <v>13622.224478799999</v>
      </c>
      <c r="R63">
        <v>3743213</v>
      </c>
      <c r="S63">
        <f t="shared" si="11"/>
        <v>0.36391796242425956</v>
      </c>
    </row>
    <row r="64" spans="1:19" x14ac:dyDescent="0.2">
      <c r="A64" t="s">
        <v>10</v>
      </c>
      <c r="B64">
        <v>0</v>
      </c>
      <c r="C64">
        <v>2333.0747999999999</v>
      </c>
      <c r="D64">
        <v>1</v>
      </c>
      <c r="E64">
        <v>1211.04746</v>
      </c>
      <c r="F64">
        <v>3</v>
      </c>
      <c r="G64">
        <v>474.36227999999994</v>
      </c>
      <c r="H64">
        <v>3</v>
      </c>
      <c r="I64">
        <v>195.40499999999997</v>
      </c>
      <c r="J64">
        <v>15</v>
      </c>
      <c r="K64">
        <v>79.858281999999988</v>
      </c>
      <c r="L64">
        <v>35</v>
      </c>
      <c r="M64">
        <v>29.541497999999997</v>
      </c>
      <c r="N64">
        <v>65</v>
      </c>
      <c r="O64">
        <v>10.474046799999998</v>
      </c>
      <c r="P64" s="3">
        <f t="shared" si="9"/>
        <v>6132.9890019999984</v>
      </c>
      <c r="Q64" s="3">
        <f>P64</f>
        <v>6132.9890019999984</v>
      </c>
      <c r="R64">
        <v>3743213</v>
      </c>
      <c r="S64">
        <f>Q64/R64*100</f>
        <v>0.16384290720298308</v>
      </c>
    </row>
    <row r="65" spans="1:19" x14ac:dyDescent="0.2">
      <c r="A65" t="s">
        <v>3</v>
      </c>
      <c r="B65">
        <v>12</v>
      </c>
      <c r="C65">
        <v>2333.0747999999999</v>
      </c>
      <c r="D65">
        <v>32</v>
      </c>
      <c r="E65">
        <v>1211.04746</v>
      </c>
      <c r="F65">
        <v>150</v>
      </c>
      <c r="G65">
        <v>474.36227999999994</v>
      </c>
      <c r="H65">
        <v>401</v>
      </c>
      <c r="I65">
        <v>195.40499999999997</v>
      </c>
      <c r="J65">
        <v>906</v>
      </c>
      <c r="K65">
        <v>79.858281999999988</v>
      </c>
      <c r="L65">
        <v>1672</v>
      </c>
      <c r="M65">
        <v>29.541497999999997</v>
      </c>
      <c r="N65">
        <v>1803</v>
      </c>
      <c r="O65">
        <v>10.474046799999998</v>
      </c>
      <c r="P65" s="3">
        <f t="shared" si="9"/>
        <v>356891.85784839996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10</v>
      </c>
      <c r="B73" s="14">
        <v>5.0000000000000001E-4</v>
      </c>
      <c r="C73" s="4" t="s">
        <v>69</v>
      </c>
      <c r="D73" s="5"/>
      <c r="E73" s="5"/>
      <c r="F73" s="5"/>
      <c r="G73" s="5"/>
      <c r="H73" s="5"/>
      <c r="I73" s="5"/>
      <c r="J73" s="5"/>
      <c r="K73" s="4">
        <v>2.8516785400154028</v>
      </c>
      <c r="L73" s="4">
        <v>11376.779844357276</v>
      </c>
      <c r="M73" s="7">
        <f t="shared" ref="M73:M78" si="12">POWER(B73,1/K73)</f>
        <v>6.9570580605498464E-2</v>
      </c>
      <c r="N73" s="8">
        <f t="shared" ref="N73:N78" si="13">L73/M73</f>
        <v>163528.60282810577</v>
      </c>
      <c r="O73">
        <f t="shared" ref="O73:O78" si="14">R54</f>
        <v>3743213</v>
      </c>
      <c r="P73" s="8">
        <f>O73*(K73/(1-K73))*POWER(L73,K73)*(-1)*POWER(N73,1-K73)</f>
        <v>471349710.90933603</v>
      </c>
      <c r="Q73" s="9">
        <f t="shared" ref="Q73:Q78" si="15">B73*O73</f>
        <v>1871.6065000000001</v>
      </c>
      <c r="R73" s="4">
        <f t="shared" ref="R73:R78" si="16">P73/Q73</f>
        <v>251842.31349342718</v>
      </c>
      <c r="S73" s="3">
        <f t="shared" ref="S73:S78" si="17">8.6991*P73*1.23</f>
        <v>5043391472.3108282</v>
      </c>
    </row>
    <row r="74" spans="1:19" x14ac:dyDescent="0.2">
      <c r="A74" t="s">
        <v>10</v>
      </c>
      <c r="B74" s="14">
        <v>1E-3</v>
      </c>
      <c r="C74" s="4" t="s">
        <v>69</v>
      </c>
      <c r="D74" s="5"/>
      <c r="E74" s="5"/>
      <c r="F74" s="5"/>
      <c r="G74" s="5"/>
      <c r="H74" s="5"/>
      <c r="I74" s="5"/>
      <c r="J74" s="5"/>
      <c r="K74" s="4">
        <v>2.8516785400154028</v>
      </c>
      <c r="L74" s="4">
        <v>11376.779844357276</v>
      </c>
      <c r="M74" s="7">
        <f t="shared" si="12"/>
        <v>8.8713153103888193E-2</v>
      </c>
      <c r="N74" s="8">
        <f t="shared" si="13"/>
        <v>128242.31183660458</v>
      </c>
      <c r="O74">
        <f t="shared" si="14"/>
        <v>3743213</v>
      </c>
      <c r="P74" s="8">
        <f>O74*(K74/(1-K74))*POWER(L74,K74)*(POWER(N73,1-K74)-POWER(N74,1-K74))+P73</f>
        <v>739283227.09474576</v>
      </c>
      <c r="Q74" s="9">
        <f t="shared" si="15"/>
        <v>3743.2130000000002</v>
      </c>
      <c r="R74" s="4">
        <f t="shared" si="16"/>
        <v>197499.64191050461</v>
      </c>
      <c r="S74" s="3">
        <f t="shared" si="17"/>
        <v>7910251426.6084795</v>
      </c>
    </row>
    <row r="75" spans="1:19" x14ac:dyDescent="0.2">
      <c r="A75" t="s">
        <v>70</v>
      </c>
      <c r="B75" s="14">
        <v>2.5000000000000001E-3</v>
      </c>
      <c r="C75" s="5">
        <f>S64/100</f>
        <v>1.6384290720298309E-3</v>
      </c>
      <c r="D75" s="5">
        <f>S63/100</f>
        <v>3.6391796242425957E-3</v>
      </c>
      <c r="E75" s="5">
        <v>200000</v>
      </c>
      <c r="F75" s="5">
        <v>140000</v>
      </c>
      <c r="G75" s="5">
        <f>D75/C75</f>
        <v>2.221139557621532</v>
      </c>
      <c r="H75" s="5">
        <f>LN(G75)</f>
        <v>0.79802037842743223</v>
      </c>
      <c r="I75" s="5">
        <f>E75/F75</f>
        <v>1.4285714285714286</v>
      </c>
      <c r="J75" s="5">
        <f>LN(I75)</f>
        <v>0.35667494393873239</v>
      </c>
      <c r="K75" s="4">
        <f>H75/J75</f>
        <v>2.2373883895934998</v>
      </c>
      <c r="L75" s="4">
        <f>F75*(D75^(1/K75))</f>
        <v>11376.779844357276</v>
      </c>
      <c r="M75" s="7">
        <f t="shared" si="12"/>
        <v>6.8708449520992004E-2</v>
      </c>
      <c r="N75" s="8">
        <f t="shared" si="13"/>
        <v>165580.50609017757</v>
      </c>
      <c r="O75">
        <f t="shared" si="14"/>
        <v>3743213</v>
      </c>
      <c r="P75" s="8">
        <f>O75*(K75/(1-K75))*POWER(L75,K75)*(POWER(N74,1-K75)-POWER(N75,1-K75))+P74</f>
        <v>-302689294.37973821</v>
      </c>
      <c r="Q75" s="9">
        <f t="shared" si="15"/>
        <v>9358.0324999999993</v>
      </c>
      <c r="R75" s="4">
        <f t="shared" si="16"/>
        <v>-32345.398926509202</v>
      </c>
      <c r="S75" s="3">
        <f t="shared" si="17"/>
        <v>-3238743062.1086998</v>
      </c>
    </row>
    <row r="76" spans="1:19" x14ac:dyDescent="0.2">
      <c r="A76" t="s">
        <v>73</v>
      </c>
      <c r="B76" s="14">
        <v>5.0000000000000001E-3</v>
      </c>
      <c r="C76" s="5">
        <f>S63/100</f>
        <v>3.6391796242425957E-3</v>
      </c>
      <c r="D76" s="5">
        <f>S62/100</f>
        <v>5.6482539606482448E-3</v>
      </c>
      <c r="E76" s="5">
        <v>140000</v>
      </c>
      <c r="F76" s="5">
        <v>120000</v>
      </c>
      <c r="G76" s="5">
        <f>D76/C76</f>
        <v>1.5520679229522196</v>
      </c>
      <c r="H76" s="5">
        <f>LN(G76)</f>
        <v>0.43958818559217788</v>
      </c>
      <c r="I76" s="5">
        <f>E76/F76</f>
        <v>1.1666666666666667</v>
      </c>
      <c r="J76" s="5">
        <f>LN(I76)</f>
        <v>0.15415067982725836</v>
      </c>
      <c r="K76" s="4">
        <f>H76/J76</f>
        <v>2.8516785400154028</v>
      </c>
      <c r="L76" s="4">
        <f>F76*(D76^(1/K76))</f>
        <v>19536.354035608307</v>
      </c>
      <c r="M76" s="7">
        <f t="shared" si="12"/>
        <v>0.15598983162609931</v>
      </c>
      <c r="N76" s="8">
        <f t="shared" si="13"/>
        <v>125241.20214730458</v>
      </c>
      <c r="O76">
        <f t="shared" si="14"/>
        <v>3743213</v>
      </c>
      <c r="P76" s="8">
        <f>O76*(K76/(1-K76))*POWER(L76,K76)*(POWER(N75,1-K76)-POWER(N76,1-K76))+P75</f>
        <v>1154647548.9968338</v>
      </c>
      <c r="Q76" s="9">
        <f t="shared" si="15"/>
        <v>18716.064999999999</v>
      </c>
      <c r="R76" s="4">
        <f t="shared" si="16"/>
        <v>61692.858461264899</v>
      </c>
      <c r="S76" s="3">
        <f t="shared" si="17"/>
        <v>12354605226.97838</v>
      </c>
    </row>
    <row r="77" spans="1:19" x14ac:dyDescent="0.2">
      <c r="A77" t="s">
        <v>74</v>
      </c>
      <c r="B77" s="14">
        <v>0.01</v>
      </c>
      <c r="C77" s="5">
        <f>S61/100</f>
        <v>7.214248362890383E-3</v>
      </c>
      <c r="D77" s="5">
        <f>S60/100</f>
        <v>1.0671739856321295E-2</v>
      </c>
      <c r="E77" s="5">
        <v>100000</v>
      </c>
      <c r="F77" s="5">
        <v>80000</v>
      </c>
      <c r="G77" s="5">
        <f>D77/C77</f>
        <v>1.479258727938453</v>
      </c>
      <c r="H77" s="5">
        <f>LN(G77)</f>
        <v>0.39154110280296089</v>
      </c>
      <c r="I77" s="5">
        <f>E77/F77</f>
        <v>1.25</v>
      </c>
      <c r="J77" s="5">
        <f>LN(I77)</f>
        <v>0.22314355131420976</v>
      </c>
      <c r="K77" s="4">
        <f>H77/J77</f>
        <v>1.754660175017245</v>
      </c>
      <c r="L77" s="4">
        <f>F77*(D77^(1/K77))</f>
        <v>6016.7186926613358</v>
      </c>
      <c r="M77" s="7">
        <f t="shared" si="12"/>
        <v>7.2473319514942972E-2</v>
      </c>
      <c r="N77" s="8">
        <f t="shared" si="13"/>
        <v>83019.775179758028</v>
      </c>
      <c r="O77">
        <f t="shared" si="14"/>
        <v>3743213</v>
      </c>
      <c r="P77" s="8">
        <f>O77*(K77/(1-K77))*POWER(L77,K77)*(POWER(N76,1-K77)-POWER(N77,1-K77))+P76</f>
        <v>3082152063.8614244</v>
      </c>
      <c r="Q77" s="9">
        <f t="shared" si="15"/>
        <v>37432.129999999997</v>
      </c>
      <c r="R77" s="4">
        <f t="shared" si="16"/>
        <v>82339.745663990398</v>
      </c>
      <c r="S77" s="3">
        <f t="shared" si="17"/>
        <v>32978697293.046406</v>
      </c>
    </row>
    <row r="78" spans="1:19" x14ac:dyDescent="0.2">
      <c r="A78" t="s">
        <v>45</v>
      </c>
      <c r="B78" s="14">
        <v>0.02</v>
      </c>
      <c r="C78" s="5">
        <f>S59/100</f>
        <v>1.6750353515442483E-2</v>
      </c>
      <c r="D78" s="5">
        <f>S58/100</f>
        <v>2.3901528981118626E-2</v>
      </c>
      <c r="E78" s="5">
        <v>60000</v>
      </c>
      <c r="F78" s="5">
        <v>50000</v>
      </c>
      <c r="G78" s="5">
        <f>D78/C78</f>
        <v>1.4269268382355831</v>
      </c>
      <c r="H78" s="5">
        <f>LN(G78)</f>
        <v>0.35552306754868018</v>
      </c>
      <c r="I78" s="5">
        <f>E78/F78</f>
        <v>1.2</v>
      </c>
      <c r="J78" s="5">
        <f>LN(I78)</f>
        <v>0.18232155679395459</v>
      </c>
      <c r="K78" s="4">
        <f>H78/J78</f>
        <v>1.9499782351598953</v>
      </c>
      <c r="L78" s="4">
        <f>F78*(D78^(1/K78))</f>
        <v>7368.5858903281523</v>
      </c>
      <c r="M78" s="7">
        <f t="shared" si="12"/>
        <v>0.13450040943886787</v>
      </c>
      <c r="N78" s="8">
        <f t="shared" si="13"/>
        <v>54784.858433291738</v>
      </c>
      <c r="O78">
        <f t="shared" si="14"/>
        <v>3743213</v>
      </c>
      <c r="P78" s="8">
        <f>O78*(K78/(1-K78))*POWER(L78,K78)*(POWER(N77,1-K78)-POWER(N78,1-K78))+P77</f>
        <v>5828658746.9890671</v>
      </c>
      <c r="Q78" s="9">
        <f t="shared" si="15"/>
        <v>74864.259999999995</v>
      </c>
      <c r="R78" s="4">
        <f t="shared" si="16"/>
        <v>77856.359589863947</v>
      </c>
      <c r="S78" s="3">
        <f t="shared" si="17"/>
        <v>62366024926.297089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18">S32+S73</f>
        <v>27039112010.496155</v>
      </c>
      <c r="C85">
        <f t="shared" ref="C85:C90" si="19">1227700000000*1.23</f>
        <v>1510071000000</v>
      </c>
      <c r="F85" s="10">
        <f t="shared" ref="F85:F90" si="20">B85/C85*100</f>
        <v>1.7905854764773415</v>
      </c>
    </row>
    <row r="86" spans="1:7" ht="15" x14ac:dyDescent="0.25">
      <c r="A86" s="18">
        <v>1E-3</v>
      </c>
      <c r="B86" s="3">
        <f t="shared" si="18"/>
        <v>39353360594.967697</v>
      </c>
      <c r="C86">
        <f t="shared" si="19"/>
        <v>1510071000000</v>
      </c>
      <c r="F86" s="10">
        <f t="shared" si="20"/>
        <v>2.6060602842493958</v>
      </c>
    </row>
    <row r="87" spans="1:7" ht="15" x14ac:dyDescent="0.25">
      <c r="A87" s="18">
        <v>2.5000000000000001E-3</v>
      </c>
      <c r="B87" s="3">
        <f t="shared" si="18"/>
        <v>47189277658.600174</v>
      </c>
      <c r="C87">
        <f t="shared" si="19"/>
        <v>1510071000000</v>
      </c>
      <c r="F87" s="10">
        <f t="shared" si="20"/>
        <v>3.1249707900224672</v>
      </c>
    </row>
    <row r="88" spans="1:7" ht="15" x14ac:dyDescent="0.25">
      <c r="A88" s="18">
        <v>5.0000000000000001E-3</v>
      </c>
      <c r="B88" s="3">
        <f t="shared" si="18"/>
        <v>84441980492.219055</v>
      </c>
      <c r="C88">
        <f t="shared" si="19"/>
        <v>1510071000000</v>
      </c>
      <c r="F88" s="10">
        <f t="shared" si="20"/>
        <v>5.5919212071630442</v>
      </c>
    </row>
    <row r="89" spans="1:7" ht="15" x14ac:dyDescent="0.25">
      <c r="A89" s="19">
        <v>0.01</v>
      </c>
      <c r="B89" s="3">
        <f t="shared" si="18"/>
        <v>137513512816.07214</v>
      </c>
      <c r="C89">
        <f t="shared" si="19"/>
        <v>1510071000000</v>
      </c>
      <c r="F89" s="10">
        <f t="shared" si="20"/>
        <v>9.1064269703922633</v>
      </c>
    </row>
    <row r="90" spans="1:7" ht="15" x14ac:dyDescent="0.25">
      <c r="A90" s="19">
        <v>0.02</v>
      </c>
      <c r="B90" s="3">
        <f t="shared" si="18"/>
        <v>208501164770.5715</v>
      </c>
      <c r="C90">
        <f t="shared" si="19"/>
        <v>1510071000000</v>
      </c>
      <c r="F90" s="10">
        <f t="shared" si="20"/>
        <v>13.80737493605079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.140625" customWidth="1"/>
    <col min="2" max="2" width="25.7109375" customWidth="1"/>
    <col min="3" max="3" width="15.42578125" customWidth="1"/>
    <col min="5" max="5" width="14.7109375" customWidth="1"/>
    <col min="7" max="7" width="13.42578125" customWidth="1"/>
    <col min="9" max="9" width="13" customWidth="1"/>
    <col min="11" max="11" width="14.140625" customWidth="1"/>
    <col min="13" max="13" width="13.7109375" customWidth="1"/>
    <col min="14" max="14" width="16" customWidth="1"/>
    <col min="15" max="15" width="13" customWidth="1"/>
    <col min="16" max="16" width="15" customWidth="1"/>
    <col min="17" max="17" width="25" customWidth="1"/>
    <col min="18" max="18" width="15" customWidth="1"/>
    <col min="19" max="19" width="13.140625" bestFit="1" customWidth="1"/>
    <col min="257" max="257" width="14.140625" customWidth="1"/>
    <col min="258" max="258" width="25.7109375" customWidth="1"/>
    <col min="259" max="259" width="15.42578125" customWidth="1"/>
    <col min="261" max="261" width="14.7109375" customWidth="1"/>
    <col min="263" max="263" width="13.42578125" customWidth="1"/>
    <col min="265" max="265" width="13" customWidth="1"/>
    <col min="267" max="267" width="14.140625" customWidth="1"/>
    <col min="269" max="269" width="13.7109375" customWidth="1"/>
    <col min="270" max="270" width="16" customWidth="1"/>
    <col min="271" max="271" width="13" customWidth="1"/>
    <col min="272" max="272" width="15" customWidth="1"/>
    <col min="273" max="273" width="25" customWidth="1"/>
    <col min="274" max="274" width="15" customWidth="1"/>
    <col min="275" max="275" width="12.28515625" bestFit="1" customWidth="1"/>
    <col min="513" max="513" width="14.140625" customWidth="1"/>
    <col min="514" max="514" width="25.7109375" customWidth="1"/>
    <col min="515" max="515" width="15.42578125" customWidth="1"/>
    <col min="517" max="517" width="14.7109375" customWidth="1"/>
    <col min="519" max="519" width="13.42578125" customWidth="1"/>
    <col min="521" max="521" width="13" customWidth="1"/>
    <col min="523" max="523" width="14.140625" customWidth="1"/>
    <col min="525" max="525" width="13.7109375" customWidth="1"/>
    <col min="526" max="526" width="16" customWidth="1"/>
    <col min="527" max="527" width="13" customWidth="1"/>
    <col min="528" max="528" width="15" customWidth="1"/>
    <col min="529" max="529" width="25" customWidth="1"/>
    <col min="530" max="530" width="15" customWidth="1"/>
    <col min="531" max="531" width="12.28515625" bestFit="1" customWidth="1"/>
    <col min="769" max="769" width="14.140625" customWidth="1"/>
    <col min="770" max="770" width="25.7109375" customWidth="1"/>
    <col min="771" max="771" width="15.42578125" customWidth="1"/>
    <col min="773" max="773" width="14.7109375" customWidth="1"/>
    <col min="775" max="775" width="13.42578125" customWidth="1"/>
    <col min="777" max="777" width="13" customWidth="1"/>
    <col min="779" max="779" width="14.140625" customWidth="1"/>
    <col min="781" max="781" width="13.7109375" customWidth="1"/>
    <col min="782" max="782" width="16" customWidth="1"/>
    <col min="783" max="783" width="13" customWidth="1"/>
    <col min="784" max="784" width="15" customWidth="1"/>
    <col min="785" max="785" width="25" customWidth="1"/>
    <col min="786" max="786" width="15" customWidth="1"/>
    <col min="787" max="787" width="12.28515625" bestFit="1" customWidth="1"/>
    <col min="1025" max="1025" width="14.140625" customWidth="1"/>
    <col min="1026" max="1026" width="25.7109375" customWidth="1"/>
    <col min="1027" max="1027" width="15.42578125" customWidth="1"/>
    <col min="1029" max="1029" width="14.7109375" customWidth="1"/>
    <col min="1031" max="1031" width="13.42578125" customWidth="1"/>
    <col min="1033" max="1033" width="13" customWidth="1"/>
    <col min="1035" max="1035" width="14.140625" customWidth="1"/>
    <col min="1037" max="1037" width="13.7109375" customWidth="1"/>
    <col min="1038" max="1038" width="16" customWidth="1"/>
    <col min="1039" max="1039" width="13" customWidth="1"/>
    <col min="1040" max="1040" width="15" customWidth="1"/>
    <col min="1041" max="1041" width="25" customWidth="1"/>
    <col min="1042" max="1042" width="15" customWidth="1"/>
    <col min="1043" max="1043" width="12.28515625" bestFit="1" customWidth="1"/>
    <col min="1281" max="1281" width="14.140625" customWidth="1"/>
    <col min="1282" max="1282" width="25.7109375" customWidth="1"/>
    <col min="1283" max="1283" width="15.42578125" customWidth="1"/>
    <col min="1285" max="1285" width="14.7109375" customWidth="1"/>
    <col min="1287" max="1287" width="13.42578125" customWidth="1"/>
    <col min="1289" max="1289" width="13" customWidth="1"/>
    <col min="1291" max="1291" width="14.140625" customWidth="1"/>
    <col min="1293" max="1293" width="13.7109375" customWidth="1"/>
    <col min="1294" max="1294" width="16" customWidth="1"/>
    <col min="1295" max="1295" width="13" customWidth="1"/>
    <col min="1296" max="1296" width="15" customWidth="1"/>
    <col min="1297" max="1297" width="25" customWidth="1"/>
    <col min="1298" max="1298" width="15" customWidth="1"/>
    <col min="1299" max="1299" width="12.28515625" bestFit="1" customWidth="1"/>
    <col min="1537" max="1537" width="14.140625" customWidth="1"/>
    <col min="1538" max="1538" width="25.7109375" customWidth="1"/>
    <col min="1539" max="1539" width="15.42578125" customWidth="1"/>
    <col min="1541" max="1541" width="14.7109375" customWidth="1"/>
    <col min="1543" max="1543" width="13.42578125" customWidth="1"/>
    <col min="1545" max="1545" width="13" customWidth="1"/>
    <col min="1547" max="1547" width="14.140625" customWidth="1"/>
    <col min="1549" max="1549" width="13.7109375" customWidth="1"/>
    <col min="1550" max="1550" width="16" customWidth="1"/>
    <col min="1551" max="1551" width="13" customWidth="1"/>
    <col min="1552" max="1552" width="15" customWidth="1"/>
    <col min="1553" max="1553" width="25" customWidth="1"/>
    <col min="1554" max="1554" width="15" customWidth="1"/>
    <col min="1555" max="1555" width="12.28515625" bestFit="1" customWidth="1"/>
    <col min="1793" max="1793" width="14.140625" customWidth="1"/>
    <col min="1794" max="1794" width="25.7109375" customWidth="1"/>
    <col min="1795" max="1795" width="15.42578125" customWidth="1"/>
    <col min="1797" max="1797" width="14.7109375" customWidth="1"/>
    <col min="1799" max="1799" width="13.42578125" customWidth="1"/>
    <col min="1801" max="1801" width="13" customWidth="1"/>
    <col min="1803" max="1803" width="14.140625" customWidth="1"/>
    <col min="1805" max="1805" width="13.7109375" customWidth="1"/>
    <col min="1806" max="1806" width="16" customWidth="1"/>
    <col min="1807" max="1807" width="13" customWidth="1"/>
    <col min="1808" max="1808" width="15" customWidth="1"/>
    <col min="1809" max="1809" width="25" customWidth="1"/>
    <col min="1810" max="1810" width="15" customWidth="1"/>
    <col min="1811" max="1811" width="12.28515625" bestFit="1" customWidth="1"/>
    <col min="2049" max="2049" width="14.140625" customWidth="1"/>
    <col min="2050" max="2050" width="25.7109375" customWidth="1"/>
    <col min="2051" max="2051" width="15.42578125" customWidth="1"/>
    <col min="2053" max="2053" width="14.7109375" customWidth="1"/>
    <col min="2055" max="2055" width="13.42578125" customWidth="1"/>
    <col min="2057" max="2057" width="13" customWidth="1"/>
    <col min="2059" max="2059" width="14.140625" customWidth="1"/>
    <col min="2061" max="2061" width="13.7109375" customWidth="1"/>
    <col min="2062" max="2062" width="16" customWidth="1"/>
    <col min="2063" max="2063" width="13" customWidth="1"/>
    <col min="2064" max="2064" width="15" customWidth="1"/>
    <col min="2065" max="2065" width="25" customWidth="1"/>
    <col min="2066" max="2066" width="15" customWidth="1"/>
    <col min="2067" max="2067" width="12.28515625" bestFit="1" customWidth="1"/>
    <col min="2305" max="2305" width="14.140625" customWidth="1"/>
    <col min="2306" max="2306" width="25.7109375" customWidth="1"/>
    <col min="2307" max="2307" width="15.42578125" customWidth="1"/>
    <col min="2309" max="2309" width="14.7109375" customWidth="1"/>
    <col min="2311" max="2311" width="13.42578125" customWidth="1"/>
    <col min="2313" max="2313" width="13" customWidth="1"/>
    <col min="2315" max="2315" width="14.140625" customWidth="1"/>
    <col min="2317" max="2317" width="13.7109375" customWidth="1"/>
    <col min="2318" max="2318" width="16" customWidth="1"/>
    <col min="2319" max="2319" width="13" customWidth="1"/>
    <col min="2320" max="2320" width="15" customWidth="1"/>
    <col min="2321" max="2321" width="25" customWidth="1"/>
    <col min="2322" max="2322" width="15" customWidth="1"/>
    <col min="2323" max="2323" width="12.28515625" bestFit="1" customWidth="1"/>
    <col min="2561" max="2561" width="14.140625" customWidth="1"/>
    <col min="2562" max="2562" width="25.7109375" customWidth="1"/>
    <col min="2563" max="2563" width="15.42578125" customWidth="1"/>
    <col min="2565" max="2565" width="14.7109375" customWidth="1"/>
    <col min="2567" max="2567" width="13.42578125" customWidth="1"/>
    <col min="2569" max="2569" width="13" customWidth="1"/>
    <col min="2571" max="2571" width="14.140625" customWidth="1"/>
    <col min="2573" max="2573" width="13.7109375" customWidth="1"/>
    <col min="2574" max="2574" width="16" customWidth="1"/>
    <col min="2575" max="2575" width="13" customWidth="1"/>
    <col min="2576" max="2576" width="15" customWidth="1"/>
    <col min="2577" max="2577" width="25" customWidth="1"/>
    <col min="2578" max="2578" width="15" customWidth="1"/>
    <col min="2579" max="2579" width="12.28515625" bestFit="1" customWidth="1"/>
    <col min="2817" max="2817" width="14.140625" customWidth="1"/>
    <col min="2818" max="2818" width="25.7109375" customWidth="1"/>
    <col min="2819" max="2819" width="15.42578125" customWidth="1"/>
    <col min="2821" max="2821" width="14.7109375" customWidth="1"/>
    <col min="2823" max="2823" width="13.42578125" customWidth="1"/>
    <col min="2825" max="2825" width="13" customWidth="1"/>
    <col min="2827" max="2827" width="14.140625" customWidth="1"/>
    <col min="2829" max="2829" width="13.7109375" customWidth="1"/>
    <col min="2830" max="2830" width="16" customWidth="1"/>
    <col min="2831" max="2831" width="13" customWidth="1"/>
    <col min="2832" max="2832" width="15" customWidth="1"/>
    <col min="2833" max="2833" width="25" customWidth="1"/>
    <col min="2834" max="2834" width="15" customWidth="1"/>
    <col min="2835" max="2835" width="12.28515625" bestFit="1" customWidth="1"/>
    <col min="3073" max="3073" width="14.140625" customWidth="1"/>
    <col min="3074" max="3074" width="25.7109375" customWidth="1"/>
    <col min="3075" max="3075" width="15.42578125" customWidth="1"/>
    <col min="3077" max="3077" width="14.7109375" customWidth="1"/>
    <col min="3079" max="3079" width="13.42578125" customWidth="1"/>
    <col min="3081" max="3081" width="13" customWidth="1"/>
    <col min="3083" max="3083" width="14.140625" customWidth="1"/>
    <col min="3085" max="3085" width="13.7109375" customWidth="1"/>
    <col min="3086" max="3086" width="16" customWidth="1"/>
    <col min="3087" max="3087" width="13" customWidth="1"/>
    <col min="3088" max="3088" width="15" customWidth="1"/>
    <col min="3089" max="3089" width="25" customWidth="1"/>
    <col min="3090" max="3090" width="15" customWidth="1"/>
    <col min="3091" max="3091" width="12.28515625" bestFit="1" customWidth="1"/>
    <col min="3329" max="3329" width="14.140625" customWidth="1"/>
    <col min="3330" max="3330" width="25.7109375" customWidth="1"/>
    <col min="3331" max="3331" width="15.42578125" customWidth="1"/>
    <col min="3333" max="3333" width="14.7109375" customWidth="1"/>
    <col min="3335" max="3335" width="13.42578125" customWidth="1"/>
    <col min="3337" max="3337" width="13" customWidth="1"/>
    <col min="3339" max="3339" width="14.140625" customWidth="1"/>
    <col min="3341" max="3341" width="13.7109375" customWidth="1"/>
    <col min="3342" max="3342" width="16" customWidth="1"/>
    <col min="3343" max="3343" width="13" customWidth="1"/>
    <col min="3344" max="3344" width="15" customWidth="1"/>
    <col min="3345" max="3345" width="25" customWidth="1"/>
    <col min="3346" max="3346" width="15" customWidth="1"/>
    <col min="3347" max="3347" width="12.28515625" bestFit="1" customWidth="1"/>
    <col min="3585" max="3585" width="14.140625" customWidth="1"/>
    <col min="3586" max="3586" width="25.7109375" customWidth="1"/>
    <col min="3587" max="3587" width="15.42578125" customWidth="1"/>
    <col min="3589" max="3589" width="14.7109375" customWidth="1"/>
    <col min="3591" max="3591" width="13.42578125" customWidth="1"/>
    <col min="3593" max="3593" width="13" customWidth="1"/>
    <col min="3595" max="3595" width="14.140625" customWidth="1"/>
    <col min="3597" max="3597" width="13.7109375" customWidth="1"/>
    <col min="3598" max="3598" width="16" customWidth="1"/>
    <col min="3599" max="3599" width="13" customWidth="1"/>
    <col min="3600" max="3600" width="15" customWidth="1"/>
    <col min="3601" max="3601" width="25" customWidth="1"/>
    <col min="3602" max="3602" width="15" customWidth="1"/>
    <col min="3603" max="3603" width="12.28515625" bestFit="1" customWidth="1"/>
    <col min="3841" max="3841" width="14.140625" customWidth="1"/>
    <col min="3842" max="3842" width="25.7109375" customWidth="1"/>
    <col min="3843" max="3843" width="15.42578125" customWidth="1"/>
    <col min="3845" max="3845" width="14.7109375" customWidth="1"/>
    <col min="3847" max="3847" width="13.42578125" customWidth="1"/>
    <col min="3849" max="3849" width="13" customWidth="1"/>
    <col min="3851" max="3851" width="14.140625" customWidth="1"/>
    <col min="3853" max="3853" width="13.7109375" customWidth="1"/>
    <col min="3854" max="3854" width="16" customWidth="1"/>
    <col min="3855" max="3855" width="13" customWidth="1"/>
    <col min="3856" max="3856" width="15" customWidth="1"/>
    <col min="3857" max="3857" width="25" customWidth="1"/>
    <col min="3858" max="3858" width="15" customWidth="1"/>
    <col min="3859" max="3859" width="12.28515625" bestFit="1" customWidth="1"/>
    <col min="4097" max="4097" width="14.140625" customWidth="1"/>
    <col min="4098" max="4098" width="25.7109375" customWidth="1"/>
    <col min="4099" max="4099" width="15.42578125" customWidth="1"/>
    <col min="4101" max="4101" width="14.7109375" customWidth="1"/>
    <col min="4103" max="4103" width="13.42578125" customWidth="1"/>
    <col min="4105" max="4105" width="13" customWidth="1"/>
    <col min="4107" max="4107" width="14.140625" customWidth="1"/>
    <col min="4109" max="4109" width="13.7109375" customWidth="1"/>
    <col min="4110" max="4110" width="16" customWidth="1"/>
    <col min="4111" max="4111" width="13" customWidth="1"/>
    <col min="4112" max="4112" width="15" customWidth="1"/>
    <col min="4113" max="4113" width="25" customWidth="1"/>
    <col min="4114" max="4114" width="15" customWidth="1"/>
    <col min="4115" max="4115" width="12.28515625" bestFit="1" customWidth="1"/>
    <col min="4353" max="4353" width="14.140625" customWidth="1"/>
    <col min="4354" max="4354" width="25.7109375" customWidth="1"/>
    <col min="4355" max="4355" width="15.42578125" customWidth="1"/>
    <col min="4357" max="4357" width="14.7109375" customWidth="1"/>
    <col min="4359" max="4359" width="13.42578125" customWidth="1"/>
    <col min="4361" max="4361" width="13" customWidth="1"/>
    <col min="4363" max="4363" width="14.140625" customWidth="1"/>
    <col min="4365" max="4365" width="13.7109375" customWidth="1"/>
    <col min="4366" max="4366" width="16" customWidth="1"/>
    <col min="4367" max="4367" width="13" customWidth="1"/>
    <col min="4368" max="4368" width="15" customWidth="1"/>
    <col min="4369" max="4369" width="25" customWidth="1"/>
    <col min="4370" max="4370" width="15" customWidth="1"/>
    <col min="4371" max="4371" width="12.28515625" bestFit="1" customWidth="1"/>
    <col min="4609" max="4609" width="14.140625" customWidth="1"/>
    <col min="4610" max="4610" width="25.7109375" customWidth="1"/>
    <col min="4611" max="4611" width="15.42578125" customWidth="1"/>
    <col min="4613" max="4613" width="14.7109375" customWidth="1"/>
    <col min="4615" max="4615" width="13.42578125" customWidth="1"/>
    <col min="4617" max="4617" width="13" customWidth="1"/>
    <col min="4619" max="4619" width="14.140625" customWidth="1"/>
    <col min="4621" max="4621" width="13.7109375" customWidth="1"/>
    <col min="4622" max="4622" width="16" customWidth="1"/>
    <col min="4623" max="4623" width="13" customWidth="1"/>
    <col min="4624" max="4624" width="15" customWidth="1"/>
    <col min="4625" max="4625" width="25" customWidth="1"/>
    <col min="4626" max="4626" width="15" customWidth="1"/>
    <col min="4627" max="4627" width="12.28515625" bestFit="1" customWidth="1"/>
    <col min="4865" max="4865" width="14.140625" customWidth="1"/>
    <col min="4866" max="4866" width="25.7109375" customWidth="1"/>
    <col min="4867" max="4867" width="15.42578125" customWidth="1"/>
    <col min="4869" max="4869" width="14.7109375" customWidth="1"/>
    <col min="4871" max="4871" width="13.42578125" customWidth="1"/>
    <col min="4873" max="4873" width="13" customWidth="1"/>
    <col min="4875" max="4875" width="14.140625" customWidth="1"/>
    <col min="4877" max="4877" width="13.7109375" customWidth="1"/>
    <col min="4878" max="4878" width="16" customWidth="1"/>
    <col min="4879" max="4879" width="13" customWidth="1"/>
    <col min="4880" max="4880" width="15" customWidth="1"/>
    <col min="4881" max="4881" width="25" customWidth="1"/>
    <col min="4882" max="4882" width="15" customWidth="1"/>
    <col min="4883" max="4883" width="12.28515625" bestFit="1" customWidth="1"/>
    <col min="5121" max="5121" width="14.140625" customWidth="1"/>
    <col min="5122" max="5122" width="25.7109375" customWidth="1"/>
    <col min="5123" max="5123" width="15.42578125" customWidth="1"/>
    <col min="5125" max="5125" width="14.7109375" customWidth="1"/>
    <col min="5127" max="5127" width="13.42578125" customWidth="1"/>
    <col min="5129" max="5129" width="13" customWidth="1"/>
    <col min="5131" max="5131" width="14.140625" customWidth="1"/>
    <col min="5133" max="5133" width="13.7109375" customWidth="1"/>
    <col min="5134" max="5134" width="16" customWidth="1"/>
    <col min="5135" max="5135" width="13" customWidth="1"/>
    <col min="5136" max="5136" width="15" customWidth="1"/>
    <col min="5137" max="5137" width="25" customWidth="1"/>
    <col min="5138" max="5138" width="15" customWidth="1"/>
    <col min="5139" max="5139" width="12.28515625" bestFit="1" customWidth="1"/>
    <col min="5377" max="5377" width="14.140625" customWidth="1"/>
    <col min="5378" max="5378" width="25.7109375" customWidth="1"/>
    <col min="5379" max="5379" width="15.42578125" customWidth="1"/>
    <col min="5381" max="5381" width="14.7109375" customWidth="1"/>
    <col min="5383" max="5383" width="13.42578125" customWidth="1"/>
    <col min="5385" max="5385" width="13" customWidth="1"/>
    <col min="5387" max="5387" width="14.140625" customWidth="1"/>
    <col min="5389" max="5389" width="13.7109375" customWidth="1"/>
    <col min="5390" max="5390" width="16" customWidth="1"/>
    <col min="5391" max="5391" width="13" customWidth="1"/>
    <col min="5392" max="5392" width="15" customWidth="1"/>
    <col min="5393" max="5393" width="25" customWidth="1"/>
    <col min="5394" max="5394" width="15" customWidth="1"/>
    <col min="5395" max="5395" width="12.28515625" bestFit="1" customWidth="1"/>
    <col min="5633" max="5633" width="14.140625" customWidth="1"/>
    <col min="5634" max="5634" width="25.7109375" customWidth="1"/>
    <col min="5635" max="5635" width="15.42578125" customWidth="1"/>
    <col min="5637" max="5637" width="14.7109375" customWidth="1"/>
    <col min="5639" max="5639" width="13.42578125" customWidth="1"/>
    <col min="5641" max="5641" width="13" customWidth="1"/>
    <col min="5643" max="5643" width="14.140625" customWidth="1"/>
    <col min="5645" max="5645" width="13.7109375" customWidth="1"/>
    <col min="5646" max="5646" width="16" customWidth="1"/>
    <col min="5647" max="5647" width="13" customWidth="1"/>
    <col min="5648" max="5648" width="15" customWidth="1"/>
    <col min="5649" max="5649" width="25" customWidth="1"/>
    <col min="5650" max="5650" width="15" customWidth="1"/>
    <col min="5651" max="5651" width="12.28515625" bestFit="1" customWidth="1"/>
    <col min="5889" max="5889" width="14.140625" customWidth="1"/>
    <col min="5890" max="5890" width="25.7109375" customWidth="1"/>
    <col min="5891" max="5891" width="15.42578125" customWidth="1"/>
    <col min="5893" max="5893" width="14.7109375" customWidth="1"/>
    <col min="5895" max="5895" width="13.42578125" customWidth="1"/>
    <col min="5897" max="5897" width="13" customWidth="1"/>
    <col min="5899" max="5899" width="14.140625" customWidth="1"/>
    <col min="5901" max="5901" width="13.7109375" customWidth="1"/>
    <col min="5902" max="5902" width="16" customWidth="1"/>
    <col min="5903" max="5903" width="13" customWidth="1"/>
    <col min="5904" max="5904" width="15" customWidth="1"/>
    <col min="5905" max="5905" width="25" customWidth="1"/>
    <col min="5906" max="5906" width="15" customWidth="1"/>
    <col min="5907" max="5907" width="12.28515625" bestFit="1" customWidth="1"/>
    <col min="6145" max="6145" width="14.140625" customWidth="1"/>
    <col min="6146" max="6146" width="25.7109375" customWidth="1"/>
    <col min="6147" max="6147" width="15.42578125" customWidth="1"/>
    <col min="6149" max="6149" width="14.7109375" customWidth="1"/>
    <col min="6151" max="6151" width="13.42578125" customWidth="1"/>
    <col min="6153" max="6153" width="13" customWidth="1"/>
    <col min="6155" max="6155" width="14.140625" customWidth="1"/>
    <col min="6157" max="6157" width="13.7109375" customWidth="1"/>
    <col min="6158" max="6158" width="16" customWidth="1"/>
    <col min="6159" max="6159" width="13" customWidth="1"/>
    <col min="6160" max="6160" width="15" customWidth="1"/>
    <col min="6161" max="6161" width="25" customWidth="1"/>
    <col min="6162" max="6162" width="15" customWidth="1"/>
    <col min="6163" max="6163" width="12.28515625" bestFit="1" customWidth="1"/>
    <col min="6401" max="6401" width="14.140625" customWidth="1"/>
    <col min="6402" max="6402" width="25.7109375" customWidth="1"/>
    <col min="6403" max="6403" width="15.42578125" customWidth="1"/>
    <col min="6405" max="6405" width="14.7109375" customWidth="1"/>
    <col min="6407" max="6407" width="13.42578125" customWidth="1"/>
    <col min="6409" max="6409" width="13" customWidth="1"/>
    <col min="6411" max="6411" width="14.140625" customWidth="1"/>
    <col min="6413" max="6413" width="13.7109375" customWidth="1"/>
    <col min="6414" max="6414" width="16" customWidth="1"/>
    <col min="6415" max="6415" width="13" customWidth="1"/>
    <col min="6416" max="6416" width="15" customWidth="1"/>
    <col min="6417" max="6417" width="25" customWidth="1"/>
    <col min="6418" max="6418" width="15" customWidth="1"/>
    <col min="6419" max="6419" width="12.28515625" bestFit="1" customWidth="1"/>
    <col min="6657" max="6657" width="14.140625" customWidth="1"/>
    <col min="6658" max="6658" width="25.7109375" customWidth="1"/>
    <col min="6659" max="6659" width="15.42578125" customWidth="1"/>
    <col min="6661" max="6661" width="14.7109375" customWidth="1"/>
    <col min="6663" max="6663" width="13.42578125" customWidth="1"/>
    <col min="6665" max="6665" width="13" customWidth="1"/>
    <col min="6667" max="6667" width="14.140625" customWidth="1"/>
    <col min="6669" max="6669" width="13.7109375" customWidth="1"/>
    <col min="6670" max="6670" width="16" customWidth="1"/>
    <col min="6671" max="6671" width="13" customWidth="1"/>
    <col min="6672" max="6672" width="15" customWidth="1"/>
    <col min="6673" max="6673" width="25" customWidth="1"/>
    <col min="6674" max="6674" width="15" customWidth="1"/>
    <col min="6675" max="6675" width="12.28515625" bestFit="1" customWidth="1"/>
    <col min="6913" max="6913" width="14.140625" customWidth="1"/>
    <col min="6914" max="6914" width="25.7109375" customWidth="1"/>
    <col min="6915" max="6915" width="15.42578125" customWidth="1"/>
    <col min="6917" max="6917" width="14.7109375" customWidth="1"/>
    <col min="6919" max="6919" width="13.42578125" customWidth="1"/>
    <col min="6921" max="6921" width="13" customWidth="1"/>
    <col min="6923" max="6923" width="14.140625" customWidth="1"/>
    <col min="6925" max="6925" width="13.7109375" customWidth="1"/>
    <col min="6926" max="6926" width="16" customWidth="1"/>
    <col min="6927" max="6927" width="13" customWidth="1"/>
    <col min="6928" max="6928" width="15" customWidth="1"/>
    <col min="6929" max="6929" width="25" customWidth="1"/>
    <col min="6930" max="6930" width="15" customWidth="1"/>
    <col min="6931" max="6931" width="12.28515625" bestFit="1" customWidth="1"/>
    <col min="7169" max="7169" width="14.140625" customWidth="1"/>
    <col min="7170" max="7170" width="25.7109375" customWidth="1"/>
    <col min="7171" max="7171" width="15.42578125" customWidth="1"/>
    <col min="7173" max="7173" width="14.7109375" customWidth="1"/>
    <col min="7175" max="7175" width="13.42578125" customWidth="1"/>
    <col min="7177" max="7177" width="13" customWidth="1"/>
    <col min="7179" max="7179" width="14.140625" customWidth="1"/>
    <col min="7181" max="7181" width="13.7109375" customWidth="1"/>
    <col min="7182" max="7182" width="16" customWidth="1"/>
    <col min="7183" max="7183" width="13" customWidth="1"/>
    <col min="7184" max="7184" width="15" customWidth="1"/>
    <col min="7185" max="7185" width="25" customWidth="1"/>
    <col min="7186" max="7186" width="15" customWidth="1"/>
    <col min="7187" max="7187" width="12.28515625" bestFit="1" customWidth="1"/>
    <col min="7425" max="7425" width="14.140625" customWidth="1"/>
    <col min="7426" max="7426" width="25.7109375" customWidth="1"/>
    <col min="7427" max="7427" width="15.42578125" customWidth="1"/>
    <col min="7429" max="7429" width="14.7109375" customWidth="1"/>
    <col min="7431" max="7431" width="13.42578125" customWidth="1"/>
    <col min="7433" max="7433" width="13" customWidth="1"/>
    <col min="7435" max="7435" width="14.140625" customWidth="1"/>
    <col min="7437" max="7437" width="13.7109375" customWidth="1"/>
    <col min="7438" max="7438" width="16" customWidth="1"/>
    <col min="7439" max="7439" width="13" customWidth="1"/>
    <col min="7440" max="7440" width="15" customWidth="1"/>
    <col min="7441" max="7441" width="25" customWidth="1"/>
    <col min="7442" max="7442" width="15" customWidth="1"/>
    <col min="7443" max="7443" width="12.28515625" bestFit="1" customWidth="1"/>
    <col min="7681" max="7681" width="14.140625" customWidth="1"/>
    <col min="7682" max="7682" width="25.7109375" customWidth="1"/>
    <col min="7683" max="7683" width="15.42578125" customWidth="1"/>
    <col min="7685" max="7685" width="14.7109375" customWidth="1"/>
    <col min="7687" max="7687" width="13.42578125" customWidth="1"/>
    <col min="7689" max="7689" width="13" customWidth="1"/>
    <col min="7691" max="7691" width="14.140625" customWidth="1"/>
    <col min="7693" max="7693" width="13.7109375" customWidth="1"/>
    <col min="7694" max="7694" width="16" customWidth="1"/>
    <col min="7695" max="7695" width="13" customWidth="1"/>
    <col min="7696" max="7696" width="15" customWidth="1"/>
    <col min="7697" max="7697" width="25" customWidth="1"/>
    <col min="7698" max="7698" width="15" customWidth="1"/>
    <col min="7699" max="7699" width="12.28515625" bestFit="1" customWidth="1"/>
    <col min="7937" max="7937" width="14.140625" customWidth="1"/>
    <col min="7938" max="7938" width="25.7109375" customWidth="1"/>
    <col min="7939" max="7939" width="15.42578125" customWidth="1"/>
    <col min="7941" max="7941" width="14.7109375" customWidth="1"/>
    <col min="7943" max="7943" width="13.42578125" customWidth="1"/>
    <col min="7945" max="7945" width="13" customWidth="1"/>
    <col min="7947" max="7947" width="14.140625" customWidth="1"/>
    <col min="7949" max="7949" width="13.7109375" customWidth="1"/>
    <col min="7950" max="7950" width="16" customWidth="1"/>
    <col min="7951" max="7951" width="13" customWidth="1"/>
    <col min="7952" max="7952" width="15" customWidth="1"/>
    <col min="7953" max="7953" width="25" customWidth="1"/>
    <col min="7954" max="7954" width="15" customWidth="1"/>
    <col min="7955" max="7955" width="12.28515625" bestFit="1" customWidth="1"/>
    <col min="8193" max="8193" width="14.140625" customWidth="1"/>
    <col min="8194" max="8194" width="25.7109375" customWidth="1"/>
    <col min="8195" max="8195" width="15.42578125" customWidth="1"/>
    <col min="8197" max="8197" width="14.7109375" customWidth="1"/>
    <col min="8199" max="8199" width="13.42578125" customWidth="1"/>
    <col min="8201" max="8201" width="13" customWidth="1"/>
    <col min="8203" max="8203" width="14.140625" customWidth="1"/>
    <col min="8205" max="8205" width="13.7109375" customWidth="1"/>
    <col min="8206" max="8206" width="16" customWidth="1"/>
    <col min="8207" max="8207" width="13" customWidth="1"/>
    <col min="8208" max="8208" width="15" customWidth="1"/>
    <col min="8209" max="8209" width="25" customWidth="1"/>
    <col min="8210" max="8210" width="15" customWidth="1"/>
    <col min="8211" max="8211" width="12.28515625" bestFit="1" customWidth="1"/>
    <col min="8449" max="8449" width="14.140625" customWidth="1"/>
    <col min="8450" max="8450" width="25.7109375" customWidth="1"/>
    <col min="8451" max="8451" width="15.42578125" customWidth="1"/>
    <col min="8453" max="8453" width="14.7109375" customWidth="1"/>
    <col min="8455" max="8455" width="13.42578125" customWidth="1"/>
    <col min="8457" max="8457" width="13" customWidth="1"/>
    <col min="8459" max="8459" width="14.140625" customWidth="1"/>
    <col min="8461" max="8461" width="13.7109375" customWidth="1"/>
    <col min="8462" max="8462" width="16" customWidth="1"/>
    <col min="8463" max="8463" width="13" customWidth="1"/>
    <col min="8464" max="8464" width="15" customWidth="1"/>
    <col min="8465" max="8465" width="25" customWidth="1"/>
    <col min="8466" max="8466" width="15" customWidth="1"/>
    <col min="8467" max="8467" width="12.28515625" bestFit="1" customWidth="1"/>
    <col min="8705" max="8705" width="14.140625" customWidth="1"/>
    <col min="8706" max="8706" width="25.7109375" customWidth="1"/>
    <col min="8707" max="8707" width="15.42578125" customWidth="1"/>
    <col min="8709" max="8709" width="14.7109375" customWidth="1"/>
    <col min="8711" max="8711" width="13.42578125" customWidth="1"/>
    <col min="8713" max="8713" width="13" customWidth="1"/>
    <col min="8715" max="8715" width="14.140625" customWidth="1"/>
    <col min="8717" max="8717" width="13.7109375" customWidth="1"/>
    <col min="8718" max="8718" width="16" customWidth="1"/>
    <col min="8719" max="8719" width="13" customWidth="1"/>
    <col min="8720" max="8720" width="15" customWidth="1"/>
    <col min="8721" max="8721" width="25" customWidth="1"/>
    <col min="8722" max="8722" width="15" customWidth="1"/>
    <col min="8723" max="8723" width="12.28515625" bestFit="1" customWidth="1"/>
    <col min="8961" max="8961" width="14.140625" customWidth="1"/>
    <col min="8962" max="8962" width="25.7109375" customWidth="1"/>
    <col min="8963" max="8963" width="15.42578125" customWidth="1"/>
    <col min="8965" max="8965" width="14.7109375" customWidth="1"/>
    <col min="8967" max="8967" width="13.42578125" customWidth="1"/>
    <col min="8969" max="8969" width="13" customWidth="1"/>
    <col min="8971" max="8971" width="14.140625" customWidth="1"/>
    <col min="8973" max="8973" width="13.7109375" customWidth="1"/>
    <col min="8974" max="8974" width="16" customWidth="1"/>
    <col min="8975" max="8975" width="13" customWidth="1"/>
    <col min="8976" max="8976" width="15" customWidth="1"/>
    <col min="8977" max="8977" width="25" customWidth="1"/>
    <col min="8978" max="8978" width="15" customWidth="1"/>
    <col min="8979" max="8979" width="12.28515625" bestFit="1" customWidth="1"/>
    <col min="9217" max="9217" width="14.140625" customWidth="1"/>
    <col min="9218" max="9218" width="25.7109375" customWidth="1"/>
    <col min="9219" max="9219" width="15.42578125" customWidth="1"/>
    <col min="9221" max="9221" width="14.7109375" customWidth="1"/>
    <col min="9223" max="9223" width="13.42578125" customWidth="1"/>
    <col min="9225" max="9225" width="13" customWidth="1"/>
    <col min="9227" max="9227" width="14.140625" customWidth="1"/>
    <col min="9229" max="9229" width="13.7109375" customWidth="1"/>
    <col min="9230" max="9230" width="16" customWidth="1"/>
    <col min="9231" max="9231" width="13" customWidth="1"/>
    <col min="9232" max="9232" width="15" customWidth="1"/>
    <col min="9233" max="9233" width="25" customWidth="1"/>
    <col min="9234" max="9234" width="15" customWidth="1"/>
    <col min="9235" max="9235" width="12.28515625" bestFit="1" customWidth="1"/>
    <col min="9473" max="9473" width="14.140625" customWidth="1"/>
    <col min="9474" max="9474" width="25.7109375" customWidth="1"/>
    <col min="9475" max="9475" width="15.42578125" customWidth="1"/>
    <col min="9477" max="9477" width="14.7109375" customWidth="1"/>
    <col min="9479" max="9479" width="13.42578125" customWidth="1"/>
    <col min="9481" max="9481" width="13" customWidth="1"/>
    <col min="9483" max="9483" width="14.140625" customWidth="1"/>
    <col min="9485" max="9485" width="13.7109375" customWidth="1"/>
    <col min="9486" max="9486" width="16" customWidth="1"/>
    <col min="9487" max="9487" width="13" customWidth="1"/>
    <col min="9488" max="9488" width="15" customWidth="1"/>
    <col min="9489" max="9489" width="25" customWidth="1"/>
    <col min="9490" max="9490" width="15" customWidth="1"/>
    <col min="9491" max="9491" width="12.28515625" bestFit="1" customWidth="1"/>
    <col min="9729" max="9729" width="14.140625" customWidth="1"/>
    <col min="9730" max="9730" width="25.7109375" customWidth="1"/>
    <col min="9731" max="9731" width="15.42578125" customWidth="1"/>
    <col min="9733" max="9733" width="14.7109375" customWidth="1"/>
    <col min="9735" max="9735" width="13.42578125" customWidth="1"/>
    <col min="9737" max="9737" width="13" customWidth="1"/>
    <col min="9739" max="9739" width="14.140625" customWidth="1"/>
    <col min="9741" max="9741" width="13.7109375" customWidth="1"/>
    <col min="9742" max="9742" width="16" customWidth="1"/>
    <col min="9743" max="9743" width="13" customWidth="1"/>
    <col min="9744" max="9744" width="15" customWidth="1"/>
    <col min="9745" max="9745" width="25" customWidth="1"/>
    <col min="9746" max="9746" width="15" customWidth="1"/>
    <col min="9747" max="9747" width="12.28515625" bestFit="1" customWidth="1"/>
    <col min="9985" max="9985" width="14.140625" customWidth="1"/>
    <col min="9986" max="9986" width="25.7109375" customWidth="1"/>
    <col min="9987" max="9987" width="15.42578125" customWidth="1"/>
    <col min="9989" max="9989" width="14.7109375" customWidth="1"/>
    <col min="9991" max="9991" width="13.42578125" customWidth="1"/>
    <col min="9993" max="9993" width="13" customWidth="1"/>
    <col min="9995" max="9995" width="14.140625" customWidth="1"/>
    <col min="9997" max="9997" width="13.7109375" customWidth="1"/>
    <col min="9998" max="9998" width="16" customWidth="1"/>
    <col min="9999" max="9999" width="13" customWidth="1"/>
    <col min="10000" max="10000" width="15" customWidth="1"/>
    <col min="10001" max="10001" width="25" customWidth="1"/>
    <col min="10002" max="10002" width="15" customWidth="1"/>
    <col min="10003" max="10003" width="12.28515625" bestFit="1" customWidth="1"/>
    <col min="10241" max="10241" width="14.140625" customWidth="1"/>
    <col min="10242" max="10242" width="25.7109375" customWidth="1"/>
    <col min="10243" max="10243" width="15.42578125" customWidth="1"/>
    <col min="10245" max="10245" width="14.7109375" customWidth="1"/>
    <col min="10247" max="10247" width="13.42578125" customWidth="1"/>
    <col min="10249" max="10249" width="13" customWidth="1"/>
    <col min="10251" max="10251" width="14.140625" customWidth="1"/>
    <col min="10253" max="10253" width="13.7109375" customWidth="1"/>
    <col min="10254" max="10254" width="16" customWidth="1"/>
    <col min="10255" max="10255" width="13" customWidth="1"/>
    <col min="10256" max="10256" width="15" customWidth="1"/>
    <col min="10257" max="10257" width="25" customWidth="1"/>
    <col min="10258" max="10258" width="15" customWidth="1"/>
    <col min="10259" max="10259" width="12.28515625" bestFit="1" customWidth="1"/>
    <col min="10497" max="10497" width="14.140625" customWidth="1"/>
    <col min="10498" max="10498" width="25.7109375" customWidth="1"/>
    <col min="10499" max="10499" width="15.42578125" customWidth="1"/>
    <col min="10501" max="10501" width="14.7109375" customWidth="1"/>
    <col min="10503" max="10503" width="13.42578125" customWidth="1"/>
    <col min="10505" max="10505" width="13" customWidth="1"/>
    <col min="10507" max="10507" width="14.140625" customWidth="1"/>
    <col min="10509" max="10509" width="13.7109375" customWidth="1"/>
    <col min="10510" max="10510" width="16" customWidth="1"/>
    <col min="10511" max="10511" width="13" customWidth="1"/>
    <col min="10512" max="10512" width="15" customWidth="1"/>
    <col min="10513" max="10513" width="25" customWidth="1"/>
    <col min="10514" max="10514" width="15" customWidth="1"/>
    <col min="10515" max="10515" width="12.28515625" bestFit="1" customWidth="1"/>
    <col min="10753" max="10753" width="14.140625" customWidth="1"/>
    <col min="10754" max="10754" width="25.7109375" customWidth="1"/>
    <col min="10755" max="10755" width="15.42578125" customWidth="1"/>
    <col min="10757" max="10757" width="14.7109375" customWidth="1"/>
    <col min="10759" max="10759" width="13.42578125" customWidth="1"/>
    <col min="10761" max="10761" width="13" customWidth="1"/>
    <col min="10763" max="10763" width="14.140625" customWidth="1"/>
    <col min="10765" max="10765" width="13.7109375" customWidth="1"/>
    <col min="10766" max="10766" width="16" customWidth="1"/>
    <col min="10767" max="10767" width="13" customWidth="1"/>
    <col min="10768" max="10768" width="15" customWidth="1"/>
    <col min="10769" max="10769" width="25" customWidth="1"/>
    <col min="10770" max="10770" width="15" customWidth="1"/>
    <col min="10771" max="10771" width="12.28515625" bestFit="1" customWidth="1"/>
    <col min="11009" max="11009" width="14.140625" customWidth="1"/>
    <col min="11010" max="11010" width="25.7109375" customWidth="1"/>
    <col min="11011" max="11011" width="15.42578125" customWidth="1"/>
    <col min="11013" max="11013" width="14.7109375" customWidth="1"/>
    <col min="11015" max="11015" width="13.42578125" customWidth="1"/>
    <col min="11017" max="11017" width="13" customWidth="1"/>
    <col min="11019" max="11019" width="14.140625" customWidth="1"/>
    <col min="11021" max="11021" width="13.7109375" customWidth="1"/>
    <col min="11022" max="11022" width="16" customWidth="1"/>
    <col min="11023" max="11023" width="13" customWidth="1"/>
    <col min="11024" max="11024" width="15" customWidth="1"/>
    <col min="11025" max="11025" width="25" customWidth="1"/>
    <col min="11026" max="11026" width="15" customWidth="1"/>
    <col min="11027" max="11027" width="12.28515625" bestFit="1" customWidth="1"/>
    <col min="11265" max="11265" width="14.140625" customWidth="1"/>
    <col min="11266" max="11266" width="25.7109375" customWidth="1"/>
    <col min="11267" max="11267" width="15.42578125" customWidth="1"/>
    <col min="11269" max="11269" width="14.7109375" customWidth="1"/>
    <col min="11271" max="11271" width="13.42578125" customWidth="1"/>
    <col min="11273" max="11273" width="13" customWidth="1"/>
    <col min="11275" max="11275" width="14.140625" customWidth="1"/>
    <col min="11277" max="11277" width="13.7109375" customWidth="1"/>
    <col min="11278" max="11278" width="16" customWidth="1"/>
    <col min="11279" max="11279" width="13" customWidth="1"/>
    <col min="11280" max="11280" width="15" customWidth="1"/>
    <col min="11281" max="11281" width="25" customWidth="1"/>
    <col min="11282" max="11282" width="15" customWidth="1"/>
    <col min="11283" max="11283" width="12.28515625" bestFit="1" customWidth="1"/>
    <col min="11521" max="11521" width="14.140625" customWidth="1"/>
    <col min="11522" max="11522" width="25.7109375" customWidth="1"/>
    <col min="11523" max="11523" width="15.42578125" customWidth="1"/>
    <col min="11525" max="11525" width="14.7109375" customWidth="1"/>
    <col min="11527" max="11527" width="13.42578125" customWidth="1"/>
    <col min="11529" max="11529" width="13" customWidth="1"/>
    <col min="11531" max="11531" width="14.140625" customWidth="1"/>
    <col min="11533" max="11533" width="13.7109375" customWidth="1"/>
    <col min="11534" max="11534" width="16" customWidth="1"/>
    <col min="11535" max="11535" width="13" customWidth="1"/>
    <col min="11536" max="11536" width="15" customWidth="1"/>
    <col min="11537" max="11537" width="25" customWidth="1"/>
    <col min="11538" max="11538" width="15" customWidth="1"/>
    <col min="11539" max="11539" width="12.28515625" bestFit="1" customWidth="1"/>
    <col min="11777" max="11777" width="14.140625" customWidth="1"/>
    <col min="11778" max="11778" width="25.7109375" customWidth="1"/>
    <col min="11779" max="11779" width="15.42578125" customWidth="1"/>
    <col min="11781" max="11781" width="14.7109375" customWidth="1"/>
    <col min="11783" max="11783" width="13.42578125" customWidth="1"/>
    <col min="11785" max="11785" width="13" customWidth="1"/>
    <col min="11787" max="11787" width="14.140625" customWidth="1"/>
    <col min="11789" max="11789" width="13.7109375" customWidth="1"/>
    <col min="11790" max="11790" width="16" customWidth="1"/>
    <col min="11791" max="11791" width="13" customWidth="1"/>
    <col min="11792" max="11792" width="15" customWidth="1"/>
    <col min="11793" max="11793" width="25" customWidth="1"/>
    <col min="11794" max="11794" width="15" customWidth="1"/>
    <col min="11795" max="11795" width="12.28515625" bestFit="1" customWidth="1"/>
    <col min="12033" max="12033" width="14.140625" customWidth="1"/>
    <col min="12034" max="12034" width="25.7109375" customWidth="1"/>
    <col min="12035" max="12035" width="15.42578125" customWidth="1"/>
    <col min="12037" max="12037" width="14.7109375" customWidth="1"/>
    <col min="12039" max="12039" width="13.42578125" customWidth="1"/>
    <col min="12041" max="12041" width="13" customWidth="1"/>
    <col min="12043" max="12043" width="14.140625" customWidth="1"/>
    <col min="12045" max="12045" width="13.7109375" customWidth="1"/>
    <col min="12046" max="12046" width="16" customWidth="1"/>
    <col min="12047" max="12047" width="13" customWidth="1"/>
    <col min="12048" max="12048" width="15" customWidth="1"/>
    <col min="12049" max="12049" width="25" customWidth="1"/>
    <col min="12050" max="12050" width="15" customWidth="1"/>
    <col min="12051" max="12051" width="12.28515625" bestFit="1" customWidth="1"/>
    <col min="12289" max="12289" width="14.140625" customWidth="1"/>
    <col min="12290" max="12290" width="25.7109375" customWidth="1"/>
    <col min="12291" max="12291" width="15.42578125" customWidth="1"/>
    <col min="12293" max="12293" width="14.7109375" customWidth="1"/>
    <col min="12295" max="12295" width="13.42578125" customWidth="1"/>
    <col min="12297" max="12297" width="13" customWidth="1"/>
    <col min="12299" max="12299" width="14.140625" customWidth="1"/>
    <col min="12301" max="12301" width="13.7109375" customWidth="1"/>
    <col min="12302" max="12302" width="16" customWidth="1"/>
    <col min="12303" max="12303" width="13" customWidth="1"/>
    <col min="12304" max="12304" width="15" customWidth="1"/>
    <col min="12305" max="12305" width="25" customWidth="1"/>
    <col min="12306" max="12306" width="15" customWidth="1"/>
    <col min="12307" max="12307" width="12.28515625" bestFit="1" customWidth="1"/>
    <col min="12545" max="12545" width="14.140625" customWidth="1"/>
    <col min="12546" max="12546" width="25.7109375" customWidth="1"/>
    <col min="12547" max="12547" width="15.42578125" customWidth="1"/>
    <col min="12549" max="12549" width="14.7109375" customWidth="1"/>
    <col min="12551" max="12551" width="13.42578125" customWidth="1"/>
    <col min="12553" max="12553" width="13" customWidth="1"/>
    <col min="12555" max="12555" width="14.140625" customWidth="1"/>
    <col min="12557" max="12557" width="13.7109375" customWidth="1"/>
    <col min="12558" max="12558" width="16" customWidth="1"/>
    <col min="12559" max="12559" width="13" customWidth="1"/>
    <col min="12560" max="12560" width="15" customWidth="1"/>
    <col min="12561" max="12561" width="25" customWidth="1"/>
    <col min="12562" max="12562" width="15" customWidth="1"/>
    <col min="12563" max="12563" width="12.28515625" bestFit="1" customWidth="1"/>
    <col min="12801" max="12801" width="14.140625" customWidth="1"/>
    <col min="12802" max="12802" width="25.7109375" customWidth="1"/>
    <col min="12803" max="12803" width="15.42578125" customWidth="1"/>
    <col min="12805" max="12805" width="14.7109375" customWidth="1"/>
    <col min="12807" max="12807" width="13.42578125" customWidth="1"/>
    <col min="12809" max="12809" width="13" customWidth="1"/>
    <col min="12811" max="12811" width="14.140625" customWidth="1"/>
    <col min="12813" max="12813" width="13.7109375" customWidth="1"/>
    <col min="12814" max="12814" width="16" customWidth="1"/>
    <col min="12815" max="12815" width="13" customWidth="1"/>
    <col min="12816" max="12816" width="15" customWidth="1"/>
    <col min="12817" max="12817" width="25" customWidth="1"/>
    <col min="12818" max="12818" width="15" customWidth="1"/>
    <col min="12819" max="12819" width="12.28515625" bestFit="1" customWidth="1"/>
    <col min="13057" max="13057" width="14.140625" customWidth="1"/>
    <col min="13058" max="13058" width="25.7109375" customWidth="1"/>
    <col min="13059" max="13059" width="15.42578125" customWidth="1"/>
    <col min="13061" max="13061" width="14.7109375" customWidth="1"/>
    <col min="13063" max="13063" width="13.42578125" customWidth="1"/>
    <col min="13065" max="13065" width="13" customWidth="1"/>
    <col min="13067" max="13067" width="14.140625" customWidth="1"/>
    <col min="13069" max="13069" width="13.7109375" customWidth="1"/>
    <col min="13070" max="13070" width="16" customWidth="1"/>
    <col min="13071" max="13071" width="13" customWidth="1"/>
    <col min="13072" max="13072" width="15" customWidth="1"/>
    <col min="13073" max="13073" width="25" customWidth="1"/>
    <col min="13074" max="13074" width="15" customWidth="1"/>
    <col min="13075" max="13075" width="12.28515625" bestFit="1" customWidth="1"/>
    <col min="13313" max="13313" width="14.140625" customWidth="1"/>
    <col min="13314" max="13314" width="25.7109375" customWidth="1"/>
    <col min="13315" max="13315" width="15.42578125" customWidth="1"/>
    <col min="13317" max="13317" width="14.7109375" customWidth="1"/>
    <col min="13319" max="13319" width="13.42578125" customWidth="1"/>
    <col min="13321" max="13321" width="13" customWidth="1"/>
    <col min="13323" max="13323" width="14.140625" customWidth="1"/>
    <col min="13325" max="13325" width="13.7109375" customWidth="1"/>
    <col min="13326" max="13326" width="16" customWidth="1"/>
    <col min="13327" max="13327" width="13" customWidth="1"/>
    <col min="13328" max="13328" width="15" customWidth="1"/>
    <col min="13329" max="13329" width="25" customWidth="1"/>
    <col min="13330" max="13330" width="15" customWidth="1"/>
    <col min="13331" max="13331" width="12.28515625" bestFit="1" customWidth="1"/>
    <col min="13569" max="13569" width="14.140625" customWidth="1"/>
    <col min="13570" max="13570" width="25.7109375" customWidth="1"/>
    <col min="13571" max="13571" width="15.42578125" customWidth="1"/>
    <col min="13573" max="13573" width="14.7109375" customWidth="1"/>
    <col min="13575" max="13575" width="13.42578125" customWidth="1"/>
    <col min="13577" max="13577" width="13" customWidth="1"/>
    <col min="13579" max="13579" width="14.140625" customWidth="1"/>
    <col min="13581" max="13581" width="13.7109375" customWidth="1"/>
    <col min="13582" max="13582" width="16" customWidth="1"/>
    <col min="13583" max="13583" width="13" customWidth="1"/>
    <col min="13584" max="13584" width="15" customWidth="1"/>
    <col min="13585" max="13585" width="25" customWidth="1"/>
    <col min="13586" max="13586" width="15" customWidth="1"/>
    <col min="13587" max="13587" width="12.28515625" bestFit="1" customWidth="1"/>
    <col min="13825" max="13825" width="14.140625" customWidth="1"/>
    <col min="13826" max="13826" width="25.7109375" customWidth="1"/>
    <col min="13827" max="13827" width="15.42578125" customWidth="1"/>
    <col min="13829" max="13829" width="14.7109375" customWidth="1"/>
    <col min="13831" max="13831" width="13.42578125" customWidth="1"/>
    <col min="13833" max="13833" width="13" customWidth="1"/>
    <col min="13835" max="13835" width="14.140625" customWidth="1"/>
    <col min="13837" max="13837" width="13.7109375" customWidth="1"/>
    <col min="13838" max="13838" width="16" customWidth="1"/>
    <col min="13839" max="13839" width="13" customWidth="1"/>
    <col min="13840" max="13840" width="15" customWidth="1"/>
    <col min="13841" max="13841" width="25" customWidth="1"/>
    <col min="13842" max="13842" width="15" customWidth="1"/>
    <col min="13843" max="13843" width="12.28515625" bestFit="1" customWidth="1"/>
    <col min="14081" max="14081" width="14.140625" customWidth="1"/>
    <col min="14082" max="14082" width="25.7109375" customWidth="1"/>
    <col min="14083" max="14083" width="15.42578125" customWidth="1"/>
    <col min="14085" max="14085" width="14.7109375" customWidth="1"/>
    <col min="14087" max="14087" width="13.42578125" customWidth="1"/>
    <col min="14089" max="14089" width="13" customWidth="1"/>
    <col min="14091" max="14091" width="14.140625" customWidth="1"/>
    <col min="14093" max="14093" width="13.7109375" customWidth="1"/>
    <col min="14094" max="14094" width="16" customWidth="1"/>
    <col min="14095" max="14095" width="13" customWidth="1"/>
    <col min="14096" max="14096" width="15" customWidth="1"/>
    <col min="14097" max="14097" width="25" customWidth="1"/>
    <col min="14098" max="14098" width="15" customWidth="1"/>
    <col min="14099" max="14099" width="12.28515625" bestFit="1" customWidth="1"/>
    <col min="14337" max="14337" width="14.140625" customWidth="1"/>
    <col min="14338" max="14338" width="25.7109375" customWidth="1"/>
    <col min="14339" max="14339" width="15.42578125" customWidth="1"/>
    <col min="14341" max="14341" width="14.7109375" customWidth="1"/>
    <col min="14343" max="14343" width="13.42578125" customWidth="1"/>
    <col min="14345" max="14345" width="13" customWidth="1"/>
    <col min="14347" max="14347" width="14.140625" customWidth="1"/>
    <col min="14349" max="14349" width="13.7109375" customWidth="1"/>
    <col min="14350" max="14350" width="16" customWidth="1"/>
    <col min="14351" max="14351" width="13" customWidth="1"/>
    <col min="14352" max="14352" width="15" customWidth="1"/>
    <col min="14353" max="14353" width="25" customWidth="1"/>
    <col min="14354" max="14354" width="15" customWidth="1"/>
    <col min="14355" max="14355" width="12.28515625" bestFit="1" customWidth="1"/>
    <col min="14593" max="14593" width="14.140625" customWidth="1"/>
    <col min="14594" max="14594" width="25.7109375" customWidth="1"/>
    <col min="14595" max="14595" width="15.42578125" customWidth="1"/>
    <col min="14597" max="14597" width="14.7109375" customWidth="1"/>
    <col min="14599" max="14599" width="13.42578125" customWidth="1"/>
    <col min="14601" max="14601" width="13" customWidth="1"/>
    <col min="14603" max="14603" width="14.140625" customWidth="1"/>
    <col min="14605" max="14605" width="13.7109375" customWidth="1"/>
    <col min="14606" max="14606" width="16" customWidth="1"/>
    <col min="14607" max="14607" width="13" customWidth="1"/>
    <col min="14608" max="14608" width="15" customWidth="1"/>
    <col min="14609" max="14609" width="25" customWidth="1"/>
    <col min="14610" max="14610" width="15" customWidth="1"/>
    <col min="14611" max="14611" width="12.28515625" bestFit="1" customWidth="1"/>
    <col min="14849" max="14849" width="14.140625" customWidth="1"/>
    <col min="14850" max="14850" width="25.7109375" customWidth="1"/>
    <col min="14851" max="14851" width="15.42578125" customWidth="1"/>
    <col min="14853" max="14853" width="14.7109375" customWidth="1"/>
    <col min="14855" max="14855" width="13.42578125" customWidth="1"/>
    <col min="14857" max="14857" width="13" customWidth="1"/>
    <col min="14859" max="14859" width="14.140625" customWidth="1"/>
    <col min="14861" max="14861" width="13.7109375" customWidth="1"/>
    <col min="14862" max="14862" width="16" customWidth="1"/>
    <col min="14863" max="14863" width="13" customWidth="1"/>
    <col min="14864" max="14864" width="15" customWidth="1"/>
    <col min="14865" max="14865" width="25" customWidth="1"/>
    <col min="14866" max="14866" width="15" customWidth="1"/>
    <col min="14867" max="14867" width="12.28515625" bestFit="1" customWidth="1"/>
    <col min="15105" max="15105" width="14.140625" customWidth="1"/>
    <col min="15106" max="15106" width="25.7109375" customWidth="1"/>
    <col min="15107" max="15107" width="15.42578125" customWidth="1"/>
    <col min="15109" max="15109" width="14.7109375" customWidth="1"/>
    <col min="15111" max="15111" width="13.42578125" customWidth="1"/>
    <col min="15113" max="15113" width="13" customWidth="1"/>
    <col min="15115" max="15115" width="14.140625" customWidth="1"/>
    <col min="15117" max="15117" width="13.7109375" customWidth="1"/>
    <col min="15118" max="15118" width="16" customWidth="1"/>
    <col min="15119" max="15119" width="13" customWidth="1"/>
    <col min="15120" max="15120" width="15" customWidth="1"/>
    <col min="15121" max="15121" width="25" customWidth="1"/>
    <col min="15122" max="15122" width="15" customWidth="1"/>
    <col min="15123" max="15123" width="12.28515625" bestFit="1" customWidth="1"/>
    <col min="15361" max="15361" width="14.140625" customWidth="1"/>
    <col min="15362" max="15362" width="25.7109375" customWidth="1"/>
    <col min="15363" max="15363" width="15.42578125" customWidth="1"/>
    <col min="15365" max="15365" width="14.7109375" customWidth="1"/>
    <col min="15367" max="15367" width="13.42578125" customWidth="1"/>
    <col min="15369" max="15369" width="13" customWidth="1"/>
    <col min="15371" max="15371" width="14.140625" customWidth="1"/>
    <col min="15373" max="15373" width="13.7109375" customWidth="1"/>
    <col min="15374" max="15374" width="16" customWidth="1"/>
    <col min="15375" max="15375" width="13" customWidth="1"/>
    <col min="15376" max="15376" width="15" customWidth="1"/>
    <col min="15377" max="15377" width="25" customWidth="1"/>
    <col min="15378" max="15378" width="15" customWidth="1"/>
    <col min="15379" max="15379" width="12.28515625" bestFit="1" customWidth="1"/>
    <col min="15617" max="15617" width="14.140625" customWidth="1"/>
    <col min="15618" max="15618" width="25.7109375" customWidth="1"/>
    <col min="15619" max="15619" width="15.42578125" customWidth="1"/>
    <col min="15621" max="15621" width="14.7109375" customWidth="1"/>
    <col min="15623" max="15623" width="13.42578125" customWidth="1"/>
    <col min="15625" max="15625" width="13" customWidth="1"/>
    <col min="15627" max="15627" width="14.140625" customWidth="1"/>
    <col min="15629" max="15629" width="13.7109375" customWidth="1"/>
    <col min="15630" max="15630" width="16" customWidth="1"/>
    <col min="15631" max="15631" width="13" customWidth="1"/>
    <col min="15632" max="15632" width="15" customWidth="1"/>
    <col min="15633" max="15633" width="25" customWidth="1"/>
    <col min="15634" max="15634" width="15" customWidth="1"/>
    <col min="15635" max="15635" width="12.28515625" bestFit="1" customWidth="1"/>
    <col min="15873" max="15873" width="14.140625" customWidth="1"/>
    <col min="15874" max="15874" width="25.7109375" customWidth="1"/>
    <col min="15875" max="15875" width="15.42578125" customWidth="1"/>
    <col min="15877" max="15877" width="14.7109375" customWidth="1"/>
    <col min="15879" max="15879" width="13.42578125" customWidth="1"/>
    <col min="15881" max="15881" width="13" customWidth="1"/>
    <col min="15883" max="15883" width="14.140625" customWidth="1"/>
    <col min="15885" max="15885" width="13.7109375" customWidth="1"/>
    <col min="15886" max="15886" width="16" customWidth="1"/>
    <col min="15887" max="15887" width="13" customWidth="1"/>
    <col min="15888" max="15888" width="15" customWidth="1"/>
    <col min="15889" max="15889" width="25" customWidth="1"/>
    <col min="15890" max="15890" width="15" customWidth="1"/>
    <col min="15891" max="15891" width="12.28515625" bestFit="1" customWidth="1"/>
    <col min="16129" max="16129" width="14.140625" customWidth="1"/>
    <col min="16130" max="16130" width="25.7109375" customWidth="1"/>
    <col min="16131" max="16131" width="15.42578125" customWidth="1"/>
    <col min="16133" max="16133" width="14.7109375" customWidth="1"/>
    <col min="16135" max="16135" width="13.42578125" customWidth="1"/>
    <col min="16137" max="16137" width="13" customWidth="1"/>
    <col min="16139" max="16139" width="14.140625" customWidth="1"/>
    <col min="16141" max="16141" width="13.7109375" customWidth="1"/>
    <col min="16142" max="16142" width="16" customWidth="1"/>
    <col min="16143" max="16143" width="13" customWidth="1"/>
    <col min="16144" max="16144" width="15" customWidth="1"/>
    <col min="16145" max="16145" width="25" customWidth="1"/>
    <col min="16146" max="16146" width="15" customWidth="1"/>
    <col min="16147" max="16147" width="12.28515625" bestFit="1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11</v>
      </c>
      <c r="B6">
        <v>0</v>
      </c>
      <c r="C6">
        <v>866.15815999999995</v>
      </c>
      <c r="D6">
        <v>1</v>
      </c>
      <c r="E6">
        <v>712.21583999999996</v>
      </c>
      <c r="F6">
        <v>0</v>
      </c>
      <c r="G6">
        <v>280.84280000000001</v>
      </c>
      <c r="H6">
        <v>2</v>
      </c>
      <c r="I6">
        <v>102.79326399999999</v>
      </c>
      <c r="J6">
        <v>0</v>
      </c>
      <c r="K6">
        <v>40.251539999999999</v>
      </c>
      <c r="L6">
        <v>1</v>
      </c>
      <c r="M6">
        <v>17.959522</v>
      </c>
      <c r="N6">
        <v>3</v>
      </c>
      <c r="O6">
        <v>8.6648477999999987</v>
      </c>
      <c r="P6" s="3">
        <f>(B6*C6)+(D6*E6)+(F6*G6)+(H6*I6)+(J6*K6)+(L6*M6)+(N6*O6)</f>
        <v>961.75643339999988</v>
      </c>
    </row>
    <row r="7" spans="1:19" x14ac:dyDescent="0.2">
      <c r="A7">
        <v>10000</v>
      </c>
      <c r="B7">
        <v>92</v>
      </c>
      <c r="C7">
        <v>866.15815999999995</v>
      </c>
      <c r="D7">
        <v>36</v>
      </c>
      <c r="E7">
        <v>712.21583999999996</v>
      </c>
      <c r="F7">
        <v>66</v>
      </c>
      <c r="G7">
        <v>280.84280000000001</v>
      </c>
      <c r="H7">
        <v>157</v>
      </c>
      <c r="I7">
        <v>102.79326399999999</v>
      </c>
      <c r="J7">
        <v>282</v>
      </c>
      <c r="K7">
        <v>40.251539999999999</v>
      </c>
      <c r="L7">
        <v>338</v>
      </c>
      <c r="M7">
        <v>17.959522</v>
      </c>
      <c r="N7">
        <v>206</v>
      </c>
      <c r="O7">
        <v>8.6648477999999987</v>
      </c>
      <c r="P7" s="3">
        <f t="shared" ref="P7:P21" si="0">(B7*C7)+(D7*E7)+(F7*G7)+(H7*I7)+(J7*K7)+(L7*M7)+(N7*O7)</f>
        <v>159206.69957079997</v>
      </c>
    </row>
    <row r="8" spans="1:19" x14ac:dyDescent="0.2">
      <c r="A8">
        <v>20000</v>
      </c>
      <c r="B8">
        <v>30</v>
      </c>
      <c r="C8">
        <v>866.15815999999995</v>
      </c>
      <c r="D8">
        <v>54</v>
      </c>
      <c r="E8">
        <v>712.21583999999996</v>
      </c>
      <c r="F8">
        <v>156</v>
      </c>
      <c r="G8">
        <v>280.84280000000001</v>
      </c>
      <c r="H8">
        <v>391</v>
      </c>
      <c r="I8">
        <v>102.79326399999999</v>
      </c>
      <c r="J8">
        <v>657</v>
      </c>
      <c r="K8">
        <v>40.251539999999999</v>
      </c>
      <c r="L8">
        <v>637</v>
      </c>
      <c r="M8">
        <v>17.959522</v>
      </c>
      <c r="N8">
        <v>405</v>
      </c>
      <c r="O8">
        <v>8.6648477999999987</v>
      </c>
      <c r="P8" s="3">
        <f t="shared" si="0"/>
        <v>189842.78383700002</v>
      </c>
    </row>
    <row r="9" spans="1:19" x14ac:dyDescent="0.2">
      <c r="A9">
        <v>30000</v>
      </c>
      <c r="B9">
        <v>20</v>
      </c>
      <c r="C9">
        <v>866.15815999999995</v>
      </c>
      <c r="D9">
        <v>27</v>
      </c>
      <c r="E9">
        <v>712.21583999999996</v>
      </c>
      <c r="F9">
        <v>74</v>
      </c>
      <c r="G9">
        <v>280.84280000000001</v>
      </c>
      <c r="H9">
        <v>229</v>
      </c>
      <c r="I9">
        <v>102.79326399999999</v>
      </c>
      <c r="J9">
        <v>426</v>
      </c>
      <c r="K9">
        <v>40.251539999999999</v>
      </c>
      <c r="L9">
        <v>444</v>
      </c>
      <c r="M9">
        <v>17.959522</v>
      </c>
      <c r="N9">
        <v>297</v>
      </c>
      <c r="O9">
        <v>8.6648477999999987</v>
      </c>
      <c r="P9" s="3">
        <f t="shared" si="0"/>
        <v>108569.65914059999</v>
      </c>
    </row>
    <row r="10" spans="1:19" x14ac:dyDescent="0.2">
      <c r="A10">
        <v>40000</v>
      </c>
      <c r="B10">
        <v>8</v>
      </c>
      <c r="C10">
        <v>866.15815999999995</v>
      </c>
      <c r="D10">
        <v>15</v>
      </c>
      <c r="E10">
        <v>712.21583999999996</v>
      </c>
      <c r="F10">
        <v>56</v>
      </c>
      <c r="G10">
        <v>280.84280000000001</v>
      </c>
      <c r="H10">
        <v>154</v>
      </c>
      <c r="I10">
        <v>102.79326399999999</v>
      </c>
      <c r="J10">
        <v>313</v>
      </c>
      <c r="K10">
        <v>40.251539999999999</v>
      </c>
      <c r="L10">
        <v>329</v>
      </c>
      <c r="M10">
        <v>17.959522</v>
      </c>
      <c r="N10">
        <v>216</v>
      </c>
      <c r="O10">
        <v>8.6648477999999987</v>
      </c>
      <c r="P10" s="3">
        <f t="shared" si="0"/>
        <v>69548.884218799998</v>
      </c>
    </row>
    <row r="11" spans="1:19" x14ac:dyDescent="0.2">
      <c r="A11">
        <v>50000</v>
      </c>
      <c r="B11">
        <v>7</v>
      </c>
      <c r="C11">
        <v>866.15815999999995</v>
      </c>
      <c r="D11">
        <v>7</v>
      </c>
      <c r="E11">
        <v>712.21583999999996</v>
      </c>
      <c r="F11">
        <v>32</v>
      </c>
      <c r="G11">
        <v>280.84280000000001</v>
      </c>
      <c r="H11">
        <v>121</v>
      </c>
      <c r="I11">
        <v>102.79326399999999</v>
      </c>
      <c r="J11">
        <v>217</v>
      </c>
      <c r="K11">
        <v>40.251539999999999</v>
      </c>
      <c r="L11">
        <v>278</v>
      </c>
      <c r="M11">
        <v>17.959522</v>
      </c>
      <c r="N11">
        <v>174</v>
      </c>
      <c r="O11">
        <v>8.6648477999999987</v>
      </c>
      <c r="P11" s="3">
        <f t="shared" si="0"/>
        <v>47708.587357199998</v>
      </c>
      <c r="Q11" s="3">
        <f t="shared" ref="Q11:Q19" si="1">Q12+P11</f>
        <v>243761.03305119998</v>
      </c>
      <c r="R11">
        <v>3799461</v>
      </c>
      <c r="S11">
        <f>Q11/R11*100</f>
        <v>6.4156740403757269</v>
      </c>
    </row>
    <row r="12" spans="1:19" x14ac:dyDescent="0.2">
      <c r="A12">
        <v>60000</v>
      </c>
      <c r="B12">
        <v>6</v>
      </c>
      <c r="C12">
        <v>866.15815999999995</v>
      </c>
      <c r="D12">
        <v>12</v>
      </c>
      <c r="E12">
        <v>712.21583999999996</v>
      </c>
      <c r="F12">
        <v>59</v>
      </c>
      <c r="G12">
        <v>280.84280000000001</v>
      </c>
      <c r="H12">
        <v>174</v>
      </c>
      <c r="I12">
        <v>102.79326399999999</v>
      </c>
      <c r="J12">
        <v>320</v>
      </c>
      <c r="K12">
        <v>40.251539999999999</v>
      </c>
      <c r="L12">
        <v>338</v>
      </c>
      <c r="M12">
        <v>17.959522</v>
      </c>
      <c r="N12">
        <v>238</v>
      </c>
      <c r="O12">
        <v>8.6648477999999987</v>
      </c>
      <c r="P12" s="3">
        <f t="shared" si="0"/>
        <v>69212.337188399993</v>
      </c>
      <c r="Q12" s="3">
        <f t="shared" si="1"/>
        <v>196052.44569399999</v>
      </c>
      <c r="R12">
        <v>3799461</v>
      </c>
      <c r="S12">
        <f t="shared" ref="S12:S20" si="2">Q12/R12*100</f>
        <v>5.160006792910889</v>
      </c>
    </row>
    <row r="13" spans="1:19" x14ac:dyDescent="0.2">
      <c r="A13">
        <v>80000</v>
      </c>
      <c r="B13">
        <v>4</v>
      </c>
      <c r="C13">
        <v>866.15815999999995</v>
      </c>
      <c r="D13">
        <v>12</v>
      </c>
      <c r="E13">
        <v>712.21583999999996</v>
      </c>
      <c r="F13">
        <v>35</v>
      </c>
      <c r="G13">
        <v>280.84280000000001</v>
      </c>
      <c r="H13">
        <v>88</v>
      </c>
      <c r="I13">
        <v>102.79326399999999</v>
      </c>
      <c r="J13">
        <v>209</v>
      </c>
      <c r="K13">
        <v>40.251539999999999</v>
      </c>
      <c r="L13">
        <v>214</v>
      </c>
      <c r="M13">
        <v>17.959522</v>
      </c>
      <c r="N13">
        <v>134</v>
      </c>
      <c r="O13">
        <v>8.6648477999999987</v>
      </c>
      <c r="P13" s="3">
        <f t="shared" si="0"/>
        <v>44303.527125200002</v>
      </c>
      <c r="Q13" s="3">
        <f t="shared" si="1"/>
        <v>126840.10850559999</v>
      </c>
      <c r="R13">
        <v>3799461</v>
      </c>
      <c r="S13">
        <f t="shared" si="2"/>
        <v>3.338371113839568</v>
      </c>
    </row>
    <row r="14" spans="1:19" x14ac:dyDescent="0.2">
      <c r="A14">
        <v>100000</v>
      </c>
      <c r="B14">
        <v>3</v>
      </c>
      <c r="C14">
        <v>866.15815999999995</v>
      </c>
      <c r="D14">
        <v>3</v>
      </c>
      <c r="E14">
        <v>712.21583999999996</v>
      </c>
      <c r="F14">
        <v>18</v>
      </c>
      <c r="G14">
        <v>280.84280000000001</v>
      </c>
      <c r="H14">
        <v>53</v>
      </c>
      <c r="I14">
        <v>102.79326399999999</v>
      </c>
      <c r="J14">
        <v>97</v>
      </c>
      <c r="K14">
        <v>40.251539999999999</v>
      </c>
      <c r="L14">
        <v>121</v>
      </c>
      <c r="M14">
        <v>17.959522</v>
      </c>
      <c r="N14">
        <v>108</v>
      </c>
      <c r="O14">
        <v>8.6648477999999987</v>
      </c>
      <c r="P14" s="3">
        <f t="shared" si="0"/>
        <v>22251.640496399996</v>
      </c>
      <c r="Q14" s="3">
        <f t="shared" si="1"/>
        <v>82536.581380399992</v>
      </c>
      <c r="R14">
        <v>3799461</v>
      </c>
      <c r="S14">
        <f t="shared" si="2"/>
        <v>2.172323426412325</v>
      </c>
    </row>
    <row r="15" spans="1:19" x14ac:dyDescent="0.2">
      <c r="A15">
        <v>120000</v>
      </c>
      <c r="B15">
        <v>0</v>
      </c>
      <c r="C15">
        <v>866.15815999999995</v>
      </c>
      <c r="D15">
        <v>0</v>
      </c>
      <c r="E15">
        <v>712.21583999999996</v>
      </c>
      <c r="F15">
        <v>12</v>
      </c>
      <c r="G15">
        <v>280.84280000000001</v>
      </c>
      <c r="H15">
        <v>42</v>
      </c>
      <c r="I15">
        <v>102.79326399999999</v>
      </c>
      <c r="J15">
        <v>87</v>
      </c>
      <c r="K15">
        <v>40.251539999999999</v>
      </c>
      <c r="L15">
        <v>97</v>
      </c>
      <c r="M15">
        <v>17.959522</v>
      </c>
      <c r="N15">
        <v>67</v>
      </c>
      <c r="O15">
        <v>8.6648477999999987</v>
      </c>
      <c r="P15" s="3">
        <f t="shared" si="0"/>
        <v>13511.933104600001</v>
      </c>
      <c r="Q15" s="3">
        <f t="shared" si="1"/>
        <v>60284.940883999996</v>
      </c>
      <c r="R15">
        <v>3799461</v>
      </c>
      <c r="S15">
        <f t="shared" si="2"/>
        <v>1.5866708694733278</v>
      </c>
    </row>
    <row r="16" spans="1:19" x14ac:dyDescent="0.2">
      <c r="A16">
        <v>140000</v>
      </c>
      <c r="B16">
        <v>2</v>
      </c>
      <c r="C16">
        <v>866.15815999999995</v>
      </c>
      <c r="D16">
        <v>6</v>
      </c>
      <c r="E16">
        <v>712.21583999999996</v>
      </c>
      <c r="F16">
        <v>15</v>
      </c>
      <c r="G16">
        <v>280.84280000000001</v>
      </c>
      <c r="H16">
        <v>54</v>
      </c>
      <c r="I16">
        <v>102.79326399999999</v>
      </c>
      <c r="J16">
        <v>128</v>
      </c>
      <c r="K16">
        <v>40.251539999999999</v>
      </c>
      <c r="L16">
        <v>143</v>
      </c>
      <c r="M16">
        <v>17.959522</v>
      </c>
      <c r="N16">
        <v>107</v>
      </c>
      <c r="O16">
        <v>8.6648477999999987</v>
      </c>
      <c r="P16" s="3">
        <f t="shared" si="0"/>
        <v>24416.637096599999</v>
      </c>
      <c r="Q16" s="3">
        <f t="shared" si="1"/>
        <v>46773.007779399995</v>
      </c>
      <c r="R16">
        <v>3799461</v>
      </c>
      <c r="S16">
        <f t="shared" si="2"/>
        <v>1.2310432395384503</v>
      </c>
    </row>
    <row r="17" spans="1:19" x14ac:dyDescent="0.2">
      <c r="A17">
        <v>200000</v>
      </c>
      <c r="B17">
        <v>0</v>
      </c>
      <c r="C17">
        <v>866.15815999999995</v>
      </c>
      <c r="D17">
        <v>4</v>
      </c>
      <c r="E17">
        <v>712.21583999999996</v>
      </c>
      <c r="F17">
        <v>11</v>
      </c>
      <c r="G17">
        <v>280.84280000000001</v>
      </c>
      <c r="H17">
        <v>45</v>
      </c>
      <c r="I17">
        <v>102.79326399999999</v>
      </c>
      <c r="J17">
        <v>84</v>
      </c>
      <c r="K17">
        <v>40.251539999999999</v>
      </c>
      <c r="L17">
        <v>104</v>
      </c>
      <c r="M17">
        <v>17.959522</v>
      </c>
      <c r="N17">
        <v>70</v>
      </c>
      <c r="O17">
        <v>8.6648477999999987</v>
      </c>
      <c r="P17" s="3">
        <f t="shared" si="0"/>
        <v>16419.290034000001</v>
      </c>
      <c r="Q17" s="3">
        <f t="shared" si="1"/>
        <v>22356.370682799999</v>
      </c>
      <c r="R17">
        <v>3799461</v>
      </c>
      <c r="S17">
        <f t="shared" si="2"/>
        <v>0.58840900545630026</v>
      </c>
    </row>
    <row r="18" spans="1:19" x14ac:dyDescent="0.2">
      <c r="A18">
        <v>350000</v>
      </c>
      <c r="B18">
        <v>0</v>
      </c>
      <c r="C18">
        <v>866.15815999999995</v>
      </c>
      <c r="D18">
        <v>1</v>
      </c>
      <c r="E18">
        <v>712.21583999999996</v>
      </c>
      <c r="F18">
        <v>5</v>
      </c>
      <c r="G18">
        <v>280.84280000000001</v>
      </c>
      <c r="H18">
        <v>4</v>
      </c>
      <c r="I18">
        <v>102.79326399999999</v>
      </c>
      <c r="J18">
        <v>24</v>
      </c>
      <c r="K18">
        <v>40.251539999999999</v>
      </c>
      <c r="L18">
        <v>27</v>
      </c>
      <c r="M18">
        <v>17.959522</v>
      </c>
      <c r="N18">
        <v>19</v>
      </c>
      <c r="O18">
        <v>8.6648477999999987</v>
      </c>
      <c r="P18" s="3">
        <f t="shared" si="0"/>
        <v>4143.1790582000003</v>
      </c>
      <c r="Q18" s="3">
        <f t="shared" si="1"/>
        <v>5937.0806487999998</v>
      </c>
      <c r="R18">
        <v>3799461</v>
      </c>
      <c r="S18">
        <f t="shared" si="2"/>
        <v>0.15626112884959206</v>
      </c>
    </row>
    <row r="19" spans="1:19" x14ac:dyDescent="0.2">
      <c r="A19">
        <v>500000</v>
      </c>
      <c r="B19">
        <v>0</v>
      </c>
      <c r="C19">
        <v>866.15815999999995</v>
      </c>
      <c r="D19">
        <v>0</v>
      </c>
      <c r="E19">
        <v>712.21583999999996</v>
      </c>
      <c r="F19">
        <v>0</v>
      </c>
      <c r="G19">
        <v>280.84280000000001</v>
      </c>
      <c r="H19">
        <v>3</v>
      </c>
      <c r="I19">
        <v>102.79326399999999</v>
      </c>
      <c r="J19">
        <v>11</v>
      </c>
      <c r="K19">
        <v>40.251539999999999</v>
      </c>
      <c r="L19">
        <v>12</v>
      </c>
      <c r="M19">
        <v>17.959522</v>
      </c>
      <c r="N19">
        <v>11</v>
      </c>
      <c r="O19">
        <v>8.6648477999999987</v>
      </c>
      <c r="P19" s="3">
        <f t="shared" si="0"/>
        <v>1061.9743217999999</v>
      </c>
      <c r="Q19" s="3">
        <f t="shared" si="1"/>
        <v>1793.9015906</v>
      </c>
      <c r="R19">
        <v>3799461</v>
      </c>
      <c r="S19">
        <f t="shared" si="2"/>
        <v>4.7214633617768419E-2</v>
      </c>
    </row>
    <row r="20" spans="1:19" x14ac:dyDescent="0.2">
      <c r="A20" t="s">
        <v>12</v>
      </c>
      <c r="B20">
        <v>0</v>
      </c>
      <c r="C20">
        <v>866.15815999999995</v>
      </c>
      <c r="D20">
        <v>0</v>
      </c>
      <c r="E20">
        <v>712.21583999999996</v>
      </c>
      <c r="F20">
        <v>0</v>
      </c>
      <c r="G20">
        <v>280.84280000000001</v>
      </c>
      <c r="H20">
        <v>3</v>
      </c>
      <c r="I20">
        <v>102.79326399999999</v>
      </c>
      <c r="J20">
        <v>7</v>
      </c>
      <c r="K20">
        <v>40.251539999999999</v>
      </c>
      <c r="L20">
        <v>5</v>
      </c>
      <c r="M20">
        <v>17.959522</v>
      </c>
      <c r="N20">
        <v>6</v>
      </c>
      <c r="O20">
        <v>8.6648477999999987</v>
      </c>
      <c r="P20" s="3">
        <f t="shared" si="0"/>
        <v>731.92726879999998</v>
      </c>
      <c r="Q20" s="3">
        <f>P20</f>
        <v>731.92726879999998</v>
      </c>
      <c r="R20">
        <v>3799461</v>
      </c>
      <c r="S20">
        <f t="shared" si="2"/>
        <v>1.9263976358751937E-2</v>
      </c>
    </row>
    <row r="21" spans="1:19" x14ac:dyDescent="0.2">
      <c r="A21" t="s">
        <v>3</v>
      </c>
      <c r="B21">
        <f t="shared" ref="B21:N21" si="3">SUM(B6:B20)</f>
        <v>172</v>
      </c>
      <c r="C21">
        <v>866.15815999999995</v>
      </c>
      <c r="D21">
        <f t="shared" si="3"/>
        <v>178</v>
      </c>
      <c r="E21">
        <v>712.21583999999996</v>
      </c>
      <c r="F21">
        <f t="shared" si="3"/>
        <v>539</v>
      </c>
      <c r="G21">
        <v>280.84280000000001</v>
      </c>
      <c r="H21">
        <f t="shared" si="3"/>
        <v>1520</v>
      </c>
      <c r="I21">
        <v>102.79326399999999</v>
      </c>
      <c r="J21">
        <f t="shared" si="3"/>
        <v>2862</v>
      </c>
      <c r="K21">
        <v>40.251539999999999</v>
      </c>
      <c r="L21">
        <f t="shared" si="3"/>
        <v>3088</v>
      </c>
      <c r="M21">
        <v>17.959522</v>
      </c>
      <c r="N21">
        <f t="shared" si="3"/>
        <v>2061</v>
      </c>
      <c r="O21">
        <v>8.6648477999999987</v>
      </c>
      <c r="P21" s="3">
        <f t="shared" si="0"/>
        <v>771890.81625180005</v>
      </c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75</v>
      </c>
      <c r="B32" s="14">
        <v>5.0000000000000001E-4</v>
      </c>
      <c r="C32" s="4">
        <f>S19/100</f>
        <v>4.7214633617768416E-4</v>
      </c>
      <c r="D32">
        <f>S18/100</f>
        <v>1.5626112884959207E-3</v>
      </c>
      <c r="E32">
        <v>500000</v>
      </c>
      <c r="F32">
        <v>350000</v>
      </c>
      <c r="G32">
        <f t="shared" ref="G32:G37" si="4">D32/C32</f>
        <v>3.3095910499829841</v>
      </c>
      <c r="H32">
        <f t="shared" ref="H32:H37" si="5">LN(G32)</f>
        <v>1.1968246319019762</v>
      </c>
      <c r="I32">
        <f t="shared" ref="I32:I37" si="6">E32/F32</f>
        <v>1.4285714285714286</v>
      </c>
      <c r="J32">
        <f t="shared" ref="J32:J37" si="7">LN(I32)</f>
        <v>0.35667494393873239</v>
      </c>
      <c r="K32" s="4">
        <f t="shared" ref="K32:K37" si="8">H32/J32</f>
        <v>3.35550520786669</v>
      </c>
      <c r="L32" s="4">
        <f t="shared" ref="L32:L37" si="9">F32*POWER(D32,1/K32)</f>
        <v>51025.340827938337</v>
      </c>
      <c r="M32" s="20">
        <f t="shared" ref="M32:M37" si="10">POWER(B32,1/K32)</f>
        <v>0.10380889742779315</v>
      </c>
      <c r="N32" s="8">
        <f t="shared" ref="N32:N37" si="11">L32/M32</f>
        <v>491531.47844027798</v>
      </c>
      <c r="O32" s="5">
        <v>3799461</v>
      </c>
      <c r="P32" s="8">
        <f>O32*(K32/(1-K32))*POWER(L32,K32)*(-1)*POWER(N32,1-K32)</f>
        <v>1330200723.5077069</v>
      </c>
      <c r="Q32" s="9">
        <f t="shared" ref="Q32:Q37" si="12">B32*O32</f>
        <v>1899.7305000000001</v>
      </c>
      <c r="R32" s="8">
        <f t="shared" ref="R32:R37" si="13">P32/Q32</f>
        <v>700204.96249742096</v>
      </c>
      <c r="S32" s="4">
        <f t="shared" ref="S32:S37" si="14">P32*8.4162*1.23</f>
        <v>13770139454.898241</v>
      </c>
    </row>
    <row r="33" spans="1:19" x14ac:dyDescent="0.2">
      <c r="A33" t="s">
        <v>75</v>
      </c>
      <c r="B33" s="14">
        <v>1E-3</v>
      </c>
      <c r="C33" s="4">
        <f>S19/100</f>
        <v>4.7214633617768416E-4</v>
      </c>
      <c r="D33">
        <f>S18/100</f>
        <v>1.5626112884959207E-3</v>
      </c>
      <c r="E33">
        <v>500000</v>
      </c>
      <c r="F33">
        <v>350000</v>
      </c>
      <c r="G33">
        <f t="shared" si="4"/>
        <v>3.3095910499829841</v>
      </c>
      <c r="H33">
        <f t="shared" si="5"/>
        <v>1.1968246319019762</v>
      </c>
      <c r="I33">
        <f t="shared" si="6"/>
        <v>1.4285714285714286</v>
      </c>
      <c r="J33">
        <f t="shared" si="7"/>
        <v>0.35667494393873239</v>
      </c>
      <c r="K33" s="4">
        <f t="shared" si="8"/>
        <v>3.35550520786669</v>
      </c>
      <c r="L33" s="4">
        <f t="shared" si="9"/>
        <v>51025.340827938337</v>
      </c>
      <c r="M33" s="20">
        <f t="shared" si="10"/>
        <v>0.12762826055464627</v>
      </c>
      <c r="N33" s="8">
        <f t="shared" si="11"/>
        <v>399796.57018118608</v>
      </c>
      <c r="O33" s="5">
        <v>3799461</v>
      </c>
      <c r="P33" s="8">
        <f>O33*(K33/(1-K33))*POWER(L33,K33)*(POWER(N32,1-K33)-POWER(N33,1-K33))+P32</f>
        <v>2163888622.5494456</v>
      </c>
      <c r="Q33" s="9">
        <f t="shared" si="12"/>
        <v>3799.4610000000002</v>
      </c>
      <c r="R33" s="8">
        <f t="shared" si="13"/>
        <v>569525.15700238675</v>
      </c>
      <c r="S33" s="4">
        <f t="shared" si="14"/>
        <v>22400414892.873791</v>
      </c>
    </row>
    <row r="34" spans="1:19" x14ac:dyDescent="0.2">
      <c r="A34" t="s">
        <v>76</v>
      </c>
      <c r="B34" s="14">
        <v>2.5000000000000001E-3</v>
      </c>
      <c r="C34">
        <f>S18/100</f>
        <v>1.5626112884959207E-3</v>
      </c>
      <c r="D34">
        <f>S17/100</f>
        <v>5.8840900545630024E-3</v>
      </c>
      <c r="E34">
        <v>350000</v>
      </c>
      <c r="F34">
        <v>200000</v>
      </c>
      <c r="G34">
        <f t="shared" si="4"/>
        <v>3.7655494350272405</v>
      </c>
      <c r="H34">
        <f t="shared" si="5"/>
        <v>1.3258937828829294</v>
      </c>
      <c r="I34">
        <f t="shared" si="6"/>
        <v>1.75</v>
      </c>
      <c r="J34">
        <f t="shared" si="7"/>
        <v>0.55961578793542266</v>
      </c>
      <c r="K34" s="4">
        <f t="shared" si="8"/>
        <v>2.3692930247277655</v>
      </c>
      <c r="L34" s="4">
        <f t="shared" si="9"/>
        <v>22892.09866382289</v>
      </c>
      <c r="M34" s="20">
        <f t="shared" si="10"/>
        <v>7.9754791482059051E-2</v>
      </c>
      <c r="N34" s="8">
        <f t="shared" si="11"/>
        <v>287031.01391685661</v>
      </c>
      <c r="O34" s="5">
        <v>3799461</v>
      </c>
      <c r="P34" s="8">
        <f>O34*(K34/(1-K34))*POWER(L34,K34)*(POWER(N33,1-K34)-POWER(N34,1-K34))+P33</f>
        <v>3884601606.6276722</v>
      </c>
      <c r="Q34" s="9">
        <f t="shared" si="12"/>
        <v>9498.6525000000001</v>
      </c>
      <c r="R34" s="8">
        <f t="shared" si="13"/>
        <v>408963.44051197497</v>
      </c>
      <c r="S34" s="4">
        <f t="shared" si="14"/>
        <v>40213108371.290771</v>
      </c>
    </row>
    <row r="35" spans="1:19" x14ac:dyDescent="0.2">
      <c r="A35" t="s">
        <v>76</v>
      </c>
      <c r="B35" s="14">
        <v>5.0000000000000001E-3</v>
      </c>
      <c r="C35">
        <f>S18/100</f>
        <v>1.5626112884959207E-3</v>
      </c>
      <c r="D35">
        <f>S17/100</f>
        <v>5.8840900545630024E-3</v>
      </c>
      <c r="E35">
        <v>350000</v>
      </c>
      <c r="F35">
        <v>200000</v>
      </c>
      <c r="G35">
        <f t="shared" si="4"/>
        <v>3.7655494350272405</v>
      </c>
      <c r="H35">
        <f t="shared" si="5"/>
        <v>1.3258937828829294</v>
      </c>
      <c r="I35">
        <f t="shared" si="6"/>
        <v>1.75</v>
      </c>
      <c r="J35">
        <f t="shared" si="7"/>
        <v>0.55961578793542266</v>
      </c>
      <c r="K35" s="4">
        <f t="shared" si="8"/>
        <v>2.3692930247277655</v>
      </c>
      <c r="L35" s="4">
        <f t="shared" si="9"/>
        <v>22892.09866382289</v>
      </c>
      <c r="M35" s="20">
        <f t="shared" si="10"/>
        <v>0.10685911188153283</v>
      </c>
      <c r="N35" s="8">
        <f t="shared" si="11"/>
        <v>214226.92235362902</v>
      </c>
      <c r="O35" s="5">
        <v>3799461</v>
      </c>
      <c r="P35" s="8">
        <f>O35*(K35/(1-K35))*POWER(L35,K35)*(POWER(N34,1-K35)-POWER(N35,1-K35))+P34</f>
        <v>6208964350.6556149</v>
      </c>
      <c r="Q35" s="9">
        <f t="shared" si="12"/>
        <v>18997.305</v>
      </c>
      <c r="R35" s="8">
        <f t="shared" si="13"/>
        <v>326833.95621934871</v>
      </c>
      <c r="S35" s="4">
        <f t="shared" si="14"/>
        <v>64274739494.624977</v>
      </c>
    </row>
    <row r="36" spans="1:19" x14ac:dyDescent="0.2">
      <c r="A36" t="s">
        <v>70</v>
      </c>
      <c r="B36" s="14">
        <v>0.01</v>
      </c>
      <c r="C36">
        <f>S17/100</f>
        <v>5.8840900545630024E-3</v>
      </c>
      <c r="D36">
        <f>S16/100</f>
        <v>1.2310432395384503E-2</v>
      </c>
      <c r="E36">
        <v>200000</v>
      </c>
      <c r="F36">
        <v>140000</v>
      </c>
      <c r="G36">
        <f t="shared" si="4"/>
        <v>2.0921556742385325</v>
      </c>
      <c r="H36">
        <f t="shared" si="5"/>
        <v>0.73819495750604303</v>
      </c>
      <c r="I36">
        <f t="shared" si="6"/>
        <v>1.4285714285714286</v>
      </c>
      <c r="J36">
        <f t="shared" si="7"/>
        <v>0.35667494393873239</v>
      </c>
      <c r="K36" s="4">
        <f t="shared" si="8"/>
        <v>2.0696574571631419</v>
      </c>
      <c r="L36" s="4">
        <f t="shared" si="9"/>
        <v>16726.383958996779</v>
      </c>
      <c r="M36" s="20">
        <f t="shared" si="10"/>
        <v>0.10805789795029228</v>
      </c>
      <c r="N36" s="8">
        <f t="shared" si="11"/>
        <v>154790.94333938538</v>
      </c>
      <c r="O36" s="5">
        <v>3799461</v>
      </c>
      <c r="P36" s="8">
        <f>O36*(K36/(1-K36))*POWER(L36,K36)*(POWER(N35,1-K36)-POWER(N36,1-K36))+P35</f>
        <v>9550153206.8907814</v>
      </c>
      <c r="Q36" s="9">
        <f t="shared" si="12"/>
        <v>37994.61</v>
      </c>
      <c r="R36" s="8">
        <f t="shared" si="13"/>
        <v>251355.47402357284</v>
      </c>
      <c r="S36" s="4">
        <f t="shared" si="14"/>
        <v>98862479286.396057</v>
      </c>
    </row>
    <row r="37" spans="1:19" x14ac:dyDescent="0.2">
      <c r="A37" t="s">
        <v>71</v>
      </c>
      <c r="B37" s="14">
        <v>0.02</v>
      </c>
      <c r="C37">
        <f>S15/100</f>
        <v>1.5866708694733278E-2</v>
      </c>
      <c r="D37">
        <f>S14/100</f>
        <v>2.1723234264123249E-2</v>
      </c>
      <c r="E37">
        <v>120000</v>
      </c>
      <c r="F37">
        <v>100000</v>
      </c>
      <c r="G37">
        <f t="shared" si="4"/>
        <v>1.3691077766704041</v>
      </c>
      <c r="H37">
        <f t="shared" si="5"/>
        <v>0.31415926977467057</v>
      </c>
      <c r="I37">
        <f t="shared" si="6"/>
        <v>1.2</v>
      </c>
      <c r="J37">
        <f t="shared" si="7"/>
        <v>0.18232155679395459</v>
      </c>
      <c r="K37" s="4">
        <f t="shared" si="8"/>
        <v>1.72310545883342</v>
      </c>
      <c r="L37" s="4">
        <f t="shared" si="9"/>
        <v>10835.232384634592</v>
      </c>
      <c r="M37" s="20">
        <f t="shared" si="10"/>
        <v>0.10327779365772594</v>
      </c>
      <c r="N37" s="8">
        <f t="shared" si="11"/>
        <v>104913.47656538591</v>
      </c>
      <c r="O37" s="5">
        <f>R17</f>
        <v>3799461</v>
      </c>
      <c r="P37" s="8">
        <f>O37*(K37/(1-K37))*POWER(L37,K37)*(POWER(N36,1-K37)-POWER(N37,1-K37))+P36</f>
        <v>14207473686.022564</v>
      </c>
      <c r="Q37" s="9">
        <f t="shared" si="12"/>
        <v>75989.22</v>
      </c>
      <c r="R37" s="8">
        <f t="shared" si="13"/>
        <v>186966.96302478909</v>
      </c>
      <c r="S37" s="4">
        <f t="shared" si="14"/>
        <v>147074716244.6528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11</v>
      </c>
      <c r="B50">
        <v>0</v>
      </c>
      <c r="C50">
        <v>2271.6651999999999</v>
      </c>
      <c r="D50">
        <v>1</v>
      </c>
      <c r="E50">
        <v>1189.4334199999998</v>
      </c>
      <c r="F50">
        <v>1</v>
      </c>
      <c r="G50">
        <v>480.62013999999994</v>
      </c>
      <c r="H50">
        <v>1</v>
      </c>
      <c r="I50">
        <v>195.16602</v>
      </c>
      <c r="J50">
        <v>1</v>
      </c>
      <c r="K50">
        <v>79.89312799999999</v>
      </c>
      <c r="L50">
        <v>4</v>
      </c>
      <c r="M50">
        <v>29.427146</v>
      </c>
      <c r="N50">
        <v>3</v>
      </c>
      <c r="O50">
        <v>10.640749</v>
      </c>
      <c r="P50" s="3">
        <f>(B50*C50)+(D50*E50)+(F50*G50)+(H50*I50)+(J50*K50)+(L50*M50)+(N50*O50)</f>
        <v>2094.7435390000001</v>
      </c>
      <c r="Q50" s="3"/>
    </row>
    <row r="51" spans="1:19" x14ac:dyDescent="0.2">
      <c r="A51">
        <v>10000</v>
      </c>
      <c r="B51">
        <v>6</v>
      </c>
      <c r="C51">
        <v>2271.6651999999999</v>
      </c>
      <c r="D51">
        <v>6</v>
      </c>
      <c r="E51">
        <v>1189.4334199999998</v>
      </c>
      <c r="F51">
        <v>21</v>
      </c>
      <c r="G51">
        <v>480.62013999999994</v>
      </c>
      <c r="H51">
        <v>91</v>
      </c>
      <c r="I51">
        <v>195.16602</v>
      </c>
      <c r="J51">
        <v>201</v>
      </c>
      <c r="K51">
        <v>79.89312799999999</v>
      </c>
      <c r="L51">
        <v>406</v>
      </c>
      <c r="M51">
        <v>29.427146</v>
      </c>
      <c r="N51">
        <v>510</v>
      </c>
      <c r="O51">
        <v>10.640749</v>
      </c>
      <c r="P51" s="3">
        <f t="shared" ref="P51:P65" si="15">(B51*C51)+(D51*E51)+(F51*G51)+(H51*I51)+(J51*K51)+(L51*M51)+(N51*O51)</f>
        <v>82052.444474000004</v>
      </c>
      <c r="Q51" s="3"/>
    </row>
    <row r="52" spans="1:19" x14ac:dyDescent="0.2">
      <c r="A52">
        <v>20000</v>
      </c>
      <c r="B52">
        <v>3</v>
      </c>
      <c r="C52">
        <v>2271.6651999999999</v>
      </c>
      <c r="D52">
        <v>12</v>
      </c>
      <c r="E52">
        <v>1189.4334199999998</v>
      </c>
      <c r="F52">
        <v>44</v>
      </c>
      <c r="G52">
        <v>480.62013999999994</v>
      </c>
      <c r="H52">
        <v>125</v>
      </c>
      <c r="I52">
        <v>195.16602</v>
      </c>
      <c r="J52">
        <v>292</v>
      </c>
      <c r="K52">
        <v>79.89312799999999</v>
      </c>
      <c r="L52">
        <v>413</v>
      </c>
      <c r="M52">
        <v>29.427146</v>
      </c>
      <c r="N52">
        <v>440</v>
      </c>
      <c r="O52">
        <v>10.640749</v>
      </c>
      <c r="P52" s="3">
        <f t="shared" si="15"/>
        <v>106795.36953400001</v>
      </c>
      <c r="Q52" s="3"/>
    </row>
    <row r="53" spans="1:19" x14ac:dyDescent="0.2">
      <c r="A53">
        <v>30000</v>
      </c>
      <c r="B53">
        <v>2</v>
      </c>
      <c r="C53">
        <v>2271.6651999999999</v>
      </c>
      <c r="D53">
        <v>8</v>
      </c>
      <c r="E53">
        <v>1189.4334199999998</v>
      </c>
      <c r="F53">
        <v>32</v>
      </c>
      <c r="G53">
        <v>480.62013999999994</v>
      </c>
      <c r="H53">
        <v>72</v>
      </c>
      <c r="I53">
        <v>195.16602</v>
      </c>
      <c r="J53">
        <v>171</v>
      </c>
      <c r="K53">
        <v>79.89312799999999</v>
      </c>
      <c r="L53">
        <v>282</v>
      </c>
      <c r="M53">
        <v>29.427146</v>
      </c>
      <c r="N53">
        <v>265</v>
      </c>
      <c r="O53">
        <v>10.640749</v>
      </c>
      <c r="P53" s="3">
        <f t="shared" si="15"/>
        <v>68270.574225000004</v>
      </c>
      <c r="Q53" s="3">
        <f t="shared" ref="Q53:Q62" si="16">Q54+P53</f>
        <v>212452.62913000002</v>
      </c>
      <c r="R53">
        <v>3830538</v>
      </c>
      <c r="S53">
        <f>Q53/R53*100</f>
        <v>5.5462869479430834</v>
      </c>
    </row>
    <row r="54" spans="1:19" x14ac:dyDescent="0.2">
      <c r="A54">
        <v>40000</v>
      </c>
      <c r="B54">
        <v>1</v>
      </c>
      <c r="C54">
        <v>2271.6651999999999</v>
      </c>
      <c r="D54">
        <v>3</v>
      </c>
      <c r="E54">
        <v>1189.4334199999998</v>
      </c>
      <c r="F54">
        <v>20</v>
      </c>
      <c r="G54">
        <v>480.62013999999994</v>
      </c>
      <c r="H54">
        <v>48</v>
      </c>
      <c r="I54">
        <v>195.16602</v>
      </c>
      <c r="J54">
        <v>106</v>
      </c>
      <c r="K54">
        <v>79.89312799999999</v>
      </c>
      <c r="L54">
        <v>147</v>
      </c>
      <c r="M54">
        <v>29.427146</v>
      </c>
      <c r="N54">
        <v>180</v>
      </c>
      <c r="O54">
        <v>10.640749</v>
      </c>
      <c r="P54" s="3">
        <f t="shared" si="15"/>
        <v>39530.13407</v>
      </c>
      <c r="Q54" s="3">
        <f t="shared" si="16"/>
        <v>144182.054905</v>
      </c>
      <c r="R54">
        <v>3830538</v>
      </c>
      <c r="S54">
        <f>Q54/R54*100</f>
        <v>3.7640157832920593</v>
      </c>
    </row>
    <row r="55" spans="1:19" x14ac:dyDescent="0.2">
      <c r="A55">
        <v>50000</v>
      </c>
      <c r="B55">
        <v>0</v>
      </c>
      <c r="C55">
        <v>2271.6651999999999</v>
      </c>
      <c r="D55">
        <v>1</v>
      </c>
      <c r="E55">
        <v>1189.4334199999998</v>
      </c>
      <c r="F55">
        <v>11</v>
      </c>
      <c r="G55">
        <v>480.62013999999994</v>
      </c>
      <c r="H55">
        <v>33</v>
      </c>
      <c r="I55">
        <v>195.16602</v>
      </c>
      <c r="J55">
        <v>65</v>
      </c>
      <c r="K55">
        <v>79.89312799999999</v>
      </c>
      <c r="L55">
        <v>110</v>
      </c>
      <c r="M55">
        <v>29.427146</v>
      </c>
      <c r="N55">
        <v>123</v>
      </c>
      <c r="O55">
        <v>10.640749</v>
      </c>
      <c r="P55" s="3">
        <f t="shared" si="15"/>
        <v>22655.585126999998</v>
      </c>
      <c r="Q55" s="3">
        <f t="shared" si="16"/>
        <v>104651.920835</v>
      </c>
      <c r="R55">
        <v>3830538</v>
      </c>
      <c r="S55">
        <f>Q55/R55*100</f>
        <v>2.7320423615429479</v>
      </c>
    </row>
    <row r="56" spans="1:19" x14ac:dyDescent="0.2">
      <c r="A56">
        <v>60000</v>
      </c>
      <c r="B56">
        <v>0</v>
      </c>
      <c r="C56">
        <v>2271.6651999999999</v>
      </c>
      <c r="D56">
        <v>2</v>
      </c>
      <c r="E56">
        <v>1189.4334199999998</v>
      </c>
      <c r="F56">
        <v>11</v>
      </c>
      <c r="G56">
        <v>480.62013999999994</v>
      </c>
      <c r="H56">
        <v>40</v>
      </c>
      <c r="I56">
        <v>195.16602</v>
      </c>
      <c r="J56">
        <v>67</v>
      </c>
      <c r="K56">
        <v>79.89312799999999</v>
      </c>
      <c r="L56">
        <v>143</v>
      </c>
      <c r="M56">
        <v>29.427146</v>
      </c>
      <c r="N56">
        <v>150</v>
      </c>
      <c r="O56">
        <v>10.640749</v>
      </c>
      <c r="P56" s="3">
        <f t="shared" si="15"/>
        <v>26629.362983999999</v>
      </c>
      <c r="Q56" s="3">
        <f t="shared" si="16"/>
        <v>81996.335707999999</v>
      </c>
      <c r="R56">
        <v>3830538</v>
      </c>
      <c r="S56">
        <f>Q56/R56*100</f>
        <v>2.1405958042447302</v>
      </c>
    </row>
    <row r="57" spans="1:19" x14ac:dyDescent="0.2">
      <c r="A57">
        <v>80000</v>
      </c>
      <c r="B57">
        <v>1</v>
      </c>
      <c r="C57">
        <v>2271.6651999999999</v>
      </c>
      <c r="D57">
        <v>2</v>
      </c>
      <c r="E57">
        <v>1189.4334199999998</v>
      </c>
      <c r="F57">
        <v>4</v>
      </c>
      <c r="G57">
        <v>480.62013999999994</v>
      </c>
      <c r="H57">
        <v>25</v>
      </c>
      <c r="I57">
        <v>195.16602</v>
      </c>
      <c r="J57">
        <v>50</v>
      </c>
      <c r="K57">
        <v>79.89312799999999</v>
      </c>
      <c r="L57">
        <v>89</v>
      </c>
      <c r="M57">
        <v>29.427146</v>
      </c>
      <c r="N57">
        <v>85</v>
      </c>
      <c r="O57">
        <v>10.640749</v>
      </c>
      <c r="P57" s="3">
        <f t="shared" si="15"/>
        <v>18970.299158999998</v>
      </c>
      <c r="Q57" s="3">
        <f t="shared" si="16"/>
        <v>55366.972723999992</v>
      </c>
      <c r="R57">
        <v>3830538</v>
      </c>
      <c r="S57">
        <f t="shared" ref="S57:S63" si="17">Q57/R57*100</f>
        <v>1.4454098281755721</v>
      </c>
    </row>
    <row r="58" spans="1:19" x14ac:dyDescent="0.2">
      <c r="A58">
        <v>100000</v>
      </c>
      <c r="B58">
        <v>1</v>
      </c>
      <c r="C58">
        <v>2271.6651999999999</v>
      </c>
      <c r="D58">
        <v>4</v>
      </c>
      <c r="E58">
        <v>1189.4334199999998</v>
      </c>
      <c r="F58">
        <v>2</v>
      </c>
      <c r="G58">
        <v>480.62013999999994</v>
      </c>
      <c r="H58">
        <v>6</v>
      </c>
      <c r="I58">
        <v>195.16602</v>
      </c>
      <c r="J58">
        <v>17</v>
      </c>
      <c r="K58">
        <v>79.89312799999999</v>
      </c>
      <c r="L58">
        <v>49</v>
      </c>
      <c r="M58">
        <v>29.427146</v>
      </c>
      <c r="N58">
        <v>62</v>
      </c>
      <c r="O58">
        <v>10.640749</v>
      </c>
      <c r="P58" s="3">
        <f t="shared" si="15"/>
        <v>12621.475047999998</v>
      </c>
      <c r="Q58" s="3">
        <f t="shared" si="16"/>
        <v>36396.673564999997</v>
      </c>
      <c r="R58">
        <v>3830538</v>
      </c>
      <c r="S58">
        <f t="shared" si="17"/>
        <v>0.95017132227901147</v>
      </c>
    </row>
    <row r="59" spans="1:19" x14ac:dyDescent="0.2">
      <c r="A59">
        <v>120000</v>
      </c>
      <c r="B59">
        <v>0</v>
      </c>
      <c r="C59">
        <v>2271.6651999999999</v>
      </c>
      <c r="D59">
        <v>1</v>
      </c>
      <c r="E59">
        <v>1189.4334199999998</v>
      </c>
      <c r="F59">
        <v>0</v>
      </c>
      <c r="G59">
        <v>480.62013999999994</v>
      </c>
      <c r="H59">
        <v>7</v>
      </c>
      <c r="I59">
        <v>195.16602</v>
      </c>
      <c r="J59">
        <v>10</v>
      </c>
      <c r="K59">
        <v>79.89312799999999</v>
      </c>
      <c r="L59">
        <v>32</v>
      </c>
      <c r="M59">
        <v>29.427146</v>
      </c>
      <c r="N59">
        <v>47</v>
      </c>
      <c r="O59">
        <v>10.640749</v>
      </c>
      <c r="P59" s="3">
        <f t="shared" si="15"/>
        <v>4796.3107149999996</v>
      </c>
      <c r="Q59" s="3">
        <f t="shared" si="16"/>
        <v>23775.198516999997</v>
      </c>
      <c r="R59">
        <v>3830538</v>
      </c>
      <c r="S59">
        <f t="shared" si="17"/>
        <v>0.62067517714221854</v>
      </c>
    </row>
    <row r="60" spans="1:19" x14ac:dyDescent="0.2">
      <c r="A60">
        <v>140000</v>
      </c>
      <c r="B60">
        <v>0</v>
      </c>
      <c r="C60">
        <v>2271.6651999999999</v>
      </c>
      <c r="D60">
        <v>3</v>
      </c>
      <c r="E60">
        <v>1189.4334199999998</v>
      </c>
      <c r="F60">
        <v>6</v>
      </c>
      <c r="G60">
        <v>480.62013999999994</v>
      </c>
      <c r="H60">
        <v>9</v>
      </c>
      <c r="I60">
        <v>195.16602</v>
      </c>
      <c r="J60">
        <v>14</v>
      </c>
      <c r="K60">
        <v>79.89312799999999</v>
      </c>
      <c r="L60">
        <v>49</v>
      </c>
      <c r="M60">
        <v>29.427146</v>
      </c>
      <c r="N60">
        <v>57</v>
      </c>
      <c r="O60">
        <v>10.640749</v>
      </c>
      <c r="P60" s="3">
        <f t="shared" si="15"/>
        <v>11375.471919</v>
      </c>
      <c r="Q60" s="3">
        <f t="shared" si="16"/>
        <v>18978.887801999997</v>
      </c>
      <c r="R60">
        <v>3830538</v>
      </c>
      <c r="S60">
        <f t="shared" si="17"/>
        <v>0.49546272095460214</v>
      </c>
    </row>
    <row r="61" spans="1:19" x14ac:dyDescent="0.2">
      <c r="A61">
        <v>200000</v>
      </c>
      <c r="B61">
        <v>0</v>
      </c>
      <c r="C61">
        <v>2271.6651999999999</v>
      </c>
      <c r="D61">
        <v>0</v>
      </c>
      <c r="E61">
        <v>1189.4334199999998</v>
      </c>
      <c r="F61">
        <v>1</v>
      </c>
      <c r="G61">
        <v>480.62013999999994</v>
      </c>
      <c r="H61">
        <v>3</v>
      </c>
      <c r="I61">
        <v>195.16602</v>
      </c>
      <c r="J61">
        <v>14</v>
      </c>
      <c r="K61">
        <v>79.89312799999999</v>
      </c>
      <c r="L61">
        <v>38</v>
      </c>
      <c r="M61">
        <v>29.427146</v>
      </c>
      <c r="N61">
        <v>50</v>
      </c>
      <c r="O61">
        <v>10.640749</v>
      </c>
      <c r="P61" s="3">
        <f t="shared" si="15"/>
        <v>3834.8909899999999</v>
      </c>
      <c r="Q61" s="3">
        <f t="shared" si="16"/>
        <v>7603.4158829999997</v>
      </c>
      <c r="R61">
        <v>3830538</v>
      </c>
      <c r="S61">
        <f t="shared" si="17"/>
        <v>0.19849472536233814</v>
      </c>
    </row>
    <row r="62" spans="1:19" x14ac:dyDescent="0.2">
      <c r="A62">
        <v>350000</v>
      </c>
      <c r="B62">
        <v>0</v>
      </c>
      <c r="C62">
        <v>2271.6651999999999</v>
      </c>
      <c r="D62">
        <v>0</v>
      </c>
      <c r="E62">
        <v>1189.4334199999998</v>
      </c>
      <c r="F62">
        <v>0</v>
      </c>
      <c r="G62">
        <v>480.62013999999994</v>
      </c>
      <c r="H62">
        <v>1</v>
      </c>
      <c r="I62">
        <v>195.16602</v>
      </c>
      <c r="J62">
        <v>9</v>
      </c>
      <c r="K62">
        <v>79.89312799999999</v>
      </c>
      <c r="L62">
        <v>11</v>
      </c>
      <c r="M62">
        <v>29.427146</v>
      </c>
      <c r="N62">
        <v>6</v>
      </c>
      <c r="O62">
        <v>10.640749</v>
      </c>
      <c r="P62" s="3">
        <f t="shared" si="15"/>
        <v>1301.7472719999998</v>
      </c>
      <c r="Q62" s="3">
        <f t="shared" si="16"/>
        <v>3768.5248929999998</v>
      </c>
      <c r="R62">
        <v>3830538</v>
      </c>
      <c r="S62">
        <f t="shared" si="17"/>
        <v>9.8381086233839746E-2</v>
      </c>
    </row>
    <row r="63" spans="1:19" x14ac:dyDescent="0.2">
      <c r="A63">
        <v>500000</v>
      </c>
      <c r="B63">
        <v>0</v>
      </c>
      <c r="C63">
        <v>2271.6651999999999</v>
      </c>
      <c r="D63">
        <v>1</v>
      </c>
      <c r="E63">
        <v>1189.4334199999998</v>
      </c>
      <c r="F63">
        <v>0</v>
      </c>
      <c r="G63">
        <v>480.62013999999994</v>
      </c>
      <c r="H63">
        <v>5</v>
      </c>
      <c r="I63">
        <v>195.16602</v>
      </c>
      <c r="J63">
        <v>1</v>
      </c>
      <c r="K63">
        <v>79.89312799999999</v>
      </c>
      <c r="L63">
        <v>4</v>
      </c>
      <c r="M63">
        <v>29.427146</v>
      </c>
      <c r="N63">
        <v>4</v>
      </c>
      <c r="O63">
        <v>10.640749</v>
      </c>
      <c r="P63" s="3">
        <f t="shared" si="15"/>
        <v>2405.4282280000002</v>
      </c>
      <c r="Q63" s="3">
        <f>P64+P63</f>
        <v>2466.7776210000002</v>
      </c>
      <c r="R63">
        <v>3830538</v>
      </c>
      <c r="S63">
        <f t="shared" si="17"/>
        <v>6.4397680456374534E-2</v>
      </c>
    </row>
    <row r="64" spans="1:19" x14ac:dyDescent="0.2">
      <c r="A64" t="s">
        <v>12</v>
      </c>
      <c r="B64">
        <v>0</v>
      </c>
      <c r="C64">
        <v>2271.6651999999999</v>
      </c>
      <c r="D64">
        <v>0</v>
      </c>
      <c r="E64">
        <v>1189.4334199999998</v>
      </c>
      <c r="F64">
        <v>0</v>
      </c>
      <c r="G64">
        <v>480.62013999999994</v>
      </c>
      <c r="H64">
        <v>0</v>
      </c>
      <c r="I64">
        <v>195.16602</v>
      </c>
      <c r="J64">
        <v>0</v>
      </c>
      <c r="K64">
        <v>79.89312799999999</v>
      </c>
      <c r="L64">
        <v>1</v>
      </c>
      <c r="M64">
        <v>29.427146</v>
      </c>
      <c r="N64">
        <v>3</v>
      </c>
      <c r="O64">
        <v>10.640749</v>
      </c>
      <c r="P64" s="3">
        <f t="shared" si="15"/>
        <v>61.349392999999999</v>
      </c>
      <c r="Q64" s="3">
        <f>P64</f>
        <v>61.349392999999999</v>
      </c>
      <c r="R64">
        <v>3830538</v>
      </c>
      <c r="S64">
        <f>Q64/R64*100</f>
        <v>1.6015868528128424E-3</v>
      </c>
    </row>
    <row r="65" spans="1:19" x14ac:dyDescent="0.2">
      <c r="A65" t="s">
        <v>3</v>
      </c>
      <c r="B65">
        <v>14</v>
      </c>
      <c r="C65">
        <v>2271.6651999999999</v>
      </c>
      <c r="D65">
        <v>44</v>
      </c>
      <c r="E65">
        <v>1189.4334199999998</v>
      </c>
      <c r="F65">
        <v>153</v>
      </c>
      <c r="G65">
        <v>480.62013999999994</v>
      </c>
      <c r="H65">
        <v>466</v>
      </c>
      <c r="I65">
        <v>195.16602</v>
      </c>
      <c r="J65">
        <v>1018</v>
      </c>
      <c r="K65">
        <v>79.89312799999999</v>
      </c>
      <c r="L65">
        <v>1778</v>
      </c>
      <c r="M65">
        <v>29.427146</v>
      </c>
      <c r="N65">
        <v>1985</v>
      </c>
      <c r="O65">
        <v>10.640749</v>
      </c>
      <c r="P65" s="3">
        <f t="shared" si="15"/>
        <v>403395.18667699996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83</v>
      </c>
      <c r="B73" s="14">
        <v>5.0000000000000001E-4</v>
      </c>
      <c r="C73" s="4">
        <f>S64/100</f>
        <v>1.6015868528128423E-5</v>
      </c>
      <c r="D73" s="5">
        <f>S63/100</f>
        <v>6.4397680456374537E-4</v>
      </c>
      <c r="E73" s="5">
        <v>1000000</v>
      </c>
      <c r="F73" s="5">
        <v>500000</v>
      </c>
      <c r="G73" s="5">
        <f t="shared" ref="G73:G78" si="18">D73/C73</f>
        <v>40.208672007561674</v>
      </c>
      <c r="H73" s="5">
        <f t="shared" ref="H73:H78" si="19">LN(G73)</f>
        <v>3.694082693941557</v>
      </c>
      <c r="I73" s="5">
        <f t="shared" ref="I73:I78" si="20">E73/F73</f>
        <v>2</v>
      </c>
      <c r="J73" s="5">
        <f t="shared" ref="J73:J78" si="21">LN(I73)</f>
        <v>0.69314718055994529</v>
      </c>
      <c r="K73" s="4">
        <v>1.9234801750286095</v>
      </c>
      <c r="L73" s="4">
        <v>4811.8027558538124</v>
      </c>
      <c r="M73" s="7">
        <f t="shared" ref="M73:M78" si="22">POWER(B73,1/K73)</f>
        <v>1.9223137344769516E-2</v>
      </c>
      <c r="N73" s="8">
        <f t="shared" ref="N73:N78" si="23">L73/M73</f>
        <v>250313.08207154181</v>
      </c>
      <c r="O73">
        <f t="shared" ref="O73:O78" si="24">R54</f>
        <v>3830538</v>
      </c>
      <c r="P73" s="8">
        <f>O73*(K73/(1-K73))*POWER(L73,K73)*(-1)*POWER(N73,1-K73)</f>
        <v>998558389.74453402</v>
      </c>
      <c r="Q73" s="9">
        <f t="shared" ref="Q73:Q78" si="25">B73*O73</f>
        <v>1915.269</v>
      </c>
      <c r="R73" s="4">
        <f t="shared" ref="R73:R78" si="26">P73/Q73</f>
        <v>521367.1759656393</v>
      </c>
      <c r="S73" s="3">
        <f t="shared" ref="S73:S78" si="27">8.4162*P73*1.23</f>
        <v>10337002557.314575</v>
      </c>
    </row>
    <row r="74" spans="1:19" x14ac:dyDescent="0.2">
      <c r="A74" t="s">
        <v>76</v>
      </c>
      <c r="B74" s="14">
        <v>1E-3</v>
      </c>
      <c r="C74" s="5">
        <f>S62/100</f>
        <v>9.8381086233839741E-4</v>
      </c>
      <c r="D74" s="5">
        <f>S61/100</f>
        <v>1.9849472536233813E-3</v>
      </c>
      <c r="E74" s="5">
        <v>350000</v>
      </c>
      <c r="F74" s="5">
        <v>200000</v>
      </c>
      <c r="G74" s="5">
        <f t="shared" si="18"/>
        <v>2.0176106298576597</v>
      </c>
      <c r="H74" s="5">
        <f t="shared" si="19"/>
        <v>0.70191395478009311</v>
      </c>
      <c r="I74" s="5">
        <f t="shared" si="20"/>
        <v>1.75</v>
      </c>
      <c r="J74" s="5">
        <f t="shared" si="21"/>
        <v>0.55961578793542266</v>
      </c>
      <c r="K74" s="4">
        <v>1.9234801750286095</v>
      </c>
      <c r="L74" s="4">
        <v>4811.8027558538124</v>
      </c>
      <c r="M74" s="7">
        <f t="shared" si="22"/>
        <v>2.7563035814321329E-2</v>
      </c>
      <c r="N74" s="8">
        <f t="shared" si="23"/>
        <v>174574.48403973243</v>
      </c>
      <c r="O74">
        <f t="shared" si="24"/>
        <v>3830538</v>
      </c>
      <c r="P74" s="8">
        <f>O74*(K74/(1-K74))*POWER(L74,K74)*(POWER(N73,1-K74)-POWER(N74,1-K74))+P73</f>
        <v>1392838234.6662569</v>
      </c>
      <c r="Q74" s="9">
        <f t="shared" si="25"/>
        <v>3830.538</v>
      </c>
      <c r="R74" s="4">
        <f t="shared" si="26"/>
        <v>363614.25853659638</v>
      </c>
      <c r="S74" s="3">
        <f t="shared" si="27"/>
        <v>14418558335.235727</v>
      </c>
    </row>
    <row r="75" spans="1:19" x14ac:dyDescent="0.2">
      <c r="A75" t="s">
        <v>70</v>
      </c>
      <c r="B75" s="14">
        <v>2.5000000000000001E-3</v>
      </c>
      <c r="C75" s="5">
        <f>S61/100</f>
        <v>1.9849472536233813E-3</v>
      </c>
      <c r="D75" s="5">
        <f>S60/100</f>
        <v>4.9546272095460217E-3</v>
      </c>
      <c r="E75" s="5">
        <v>200000</v>
      </c>
      <c r="F75" s="5">
        <v>140000</v>
      </c>
      <c r="G75" s="5">
        <f t="shared" si="18"/>
        <v>2.4961001862904411</v>
      </c>
      <c r="H75" s="5">
        <f t="shared" si="19"/>
        <v>0.91472958843980112</v>
      </c>
      <c r="I75" s="5">
        <f t="shared" si="20"/>
        <v>1.4285714285714286</v>
      </c>
      <c r="J75" s="5">
        <f t="shared" si="21"/>
        <v>0.35667494393873239</v>
      </c>
      <c r="K75" s="4">
        <f>H75/J75</f>
        <v>2.5646028799738962</v>
      </c>
      <c r="L75" s="4">
        <f>F75*(D75^(1/K75))</f>
        <v>17674.929496836259</v>
      </c>
      <c r="M75" s="7">
        <f t="shared" si="22"/>
        <v>9.6692897929806704E-2</v>
      </c>
      <c r="N75" s="8">
        <f t="shared" si="23"/>
        <v>182794.49551369541</v>
      </c>
      <c r="O75">
        <f t="shared" si="24"/>
        <v>3830538</v>
      </c>
      <c r="P75" s="8">
        <f>O75*(K75/(1-K75))*POWER(L75,K75)*(POWER(N74,1-K75)-POWER(N75,1-K75))+P74</f>
        <v>1178662043.0982485</v>
      </c>
      <c r="Q75" s="9">
        <f t="shared" si="25"/>
        <v>9576.3449999999993</v>
      </c>
      <c r="R75" s="4">
        <f t="shared" si="26"/>
        <v>123080.57438388535</v>
      </c>
      <c r="S75" s="3">
        <f t="shared" si="27"/>
        <v>12201422249.161879</v>
      </c>
    </row>
    <row r="76" spans="1:19" x14ac:dyDescent="0.2">
      <c r="A76" t="s">
        <v>73</v>
      </c>
      <c r="B76" s="14">
        <v>5.0000000000000001E-3</v>
      </c>
      <c r="C76" s="5">
        <f>S60/100</f>
        <v>4.9546272095460217E-3</v>
      </c>
      <c r="D76" s="5">
        <f>S59/100</f>
        <v>6.2067517714221856E-3</v>
      </c>
      <c r="E76" s="5">
        <v>140000</v>
      </c>
      <c r="F76" s="5">
        <v>120000</v>
      </c>
      <c r="G76" s="5">
        <f t="shared" si="18"/>
        <v>1.2527182185298846</v>
      </c>
      <c r="H76" s="5">
        <f t="shared" si="19"/>
        <v>0.22531576517239663</v>
      </c>
      <c r="I76" s="5">
        <f t="shared" si="20"/>
        <v>1.1666666666666667</v>
      </c>
      <c r="J76" s="5">
        <f t="shared" si="21"/>
        <v>0.15415067982725836</v>
      </c>
      <c r="K76" s="4">
        <f>H76/J76</f>
        <v>1.461659237733405</v>
      </c>
      <c r="L76" s="4">
        <f>F76*(D76^(1/K76))</f>
        <v>3708.1782500938471</v>
      </c>
      <c r="M76" s="7">
        <f t="shared" si="22"/>
        <v>2.6652696050484193E-2</v>
      </c>
      <c r="N76" s="8">
        <f t="shared" si="23"/>
        <v>139129.57409899557</v>
      </c>
      <c r="O76">
        <f t="shared" si="24"/>
        <v>3830538</v>
      </c>
      <c r="P76" s="8">
        <f>O76*(K76/(1-K76))*POWER(L76,K76)*(POWER(N75,1-K76)-POWER(N76,1-K76))+P75</f>
        <v>2177542011.5921926</v>
      </c>
      <c r="Q76" s="9">
        <f t="shared" si="25"/>
        <v>19152.689999999999</v>
      </c>
      <c r="R76" s="4">
        <f t="shared" si="26"/>
        <v>113693.79505396854</v>
      </c>
      <c r="S76" s="3">
        <f t="shared" si="27"/>
        <v>22541753765.89352</v>
      </c>
    </row>
    <row r="77" spans="1:19" x14ac:dyDescent="0.2">
      <c r="A77" t="s">
        <v>74</v>
      </c>
      <c r="B77" s="14">
        <v>0.01</v>
      </c>
      <c r="C77" s="5">
        <f>S58/100</f>
        <v>9.5017132227901147E-3</v>
      </c>
      <c r="D77" s="5">
        <f>S57/100</f>
        <v>1.4454098281755721E-2</v>
      </c>
      <c r="E77" s="5">
        <v>100000</v>
      </c>
      <c r="F77" s="5">
        <v>80000</v>
      </c>
      <c r="G77" s="5">
        <f t="shared" si="18"/>
        <v>1.5212096958564461</v>
      </c>
      <c r="H77" s="5">
        <f t="shared" si="19"/>
        <v>0.41950587087261593</v>
      </c>
      <c r="I77" s="5">
        <f t="shared" si="20"/>
        <v>1.25</v>
      </c>
      <c r="J77" s="5">
        <f t="shared" si="21"/>
        <v>0.22314355131420976</v>
      </c>
      <c r="K77" s="4">
        <f>H77/J77</f>
        <v>1.8799820492320982</v>
      </c>
      <c r="L77" s="4">
        <f>F77*(D77^(1/K77))</f>
        <v>8401.4152750038302</v>
      </c>
      <c r="M77" s="7">
        <f t="shared" si="22"/>
        <v>8.6329664856350991E-2</v>
      </c>
      <c r="N77" s="8">
        <f t="shared" si="23"/>
        <v>97317.825674215681</v>
      </c>
      <c r="O77">
        <f t="shared" si="24"/>
        <v>3830538</v>
      </c>
      <c r="P77" s="8">
        <f>O77*(K77/(1-K77))*POWER(L77,K77)*(POWER(N76,1-K77)-POWER(N77,1-K77))+P76</f>
        <v>4326753458.5541534</v>
      </c>
      <c r="Q77" s="9">
        <f t="shared" si="25"/>
        <v>38305.379999999997</v>
      </c>
      <c r="R77" s="4">
        <f t="shared" si="26"/>
        <v>112954.19751883818</v>
      </c>
      <c r="S77" s="3">
        <f t="shared" si="27"/>
        <v>44790231623.196663</v>
      </c>
    </row>
    <row r="78" spans="1:19" x14ac:dyDescent="0.2">
      <c r="A78" t="s">
        <v>72</v>
      </c>
      <c r="B78" s="14">
        <v>0.02</v>
      </c>
      <c r="C78" s="5">
        <f>S57/100</f>
        <v>1.4454098281755721E-2</v>
      </c>
      <c r="D78" s="5">
        <f>S56/100</f>
        <v>2.1405958042447302E-2</v>
      </c>
      <c r="E78" s="5">
        <v>80000</v>
      </c>
      <c r="F78" s="5">
        <v>60000</v>
      </c>
      <c r="G78" s="5">
        <f t="shared" si="18"/>
        <v>1.4809611519984176</v>
      </c>
      <c r="H78" s="5">
        <f t="shared" si="19"/>
        <v>0.39269130401550584</v>
      </c>
      <c r="I78" s="5">
        <f t="shared" si="20"/>
        <v>1.3333333333333333</v>
      </c>
      <c r="J78" s="5">
        <f t="shared" si="21"/>
        <v>0.28768207245178085</v>
      </c>
      <c r="K78" s="4">
        <f>H78/J78</f>
        <v>1.3650183366268882</v>
      </c>
      <c r="L78" s="4">
        <f>F78*(D78^(1/K78))</f>
        <v>3590.1794441694369</v>
      </c>
      <c r="M78" s="7">
        <f t="shared" si="22"/>
        <v>5.6931162255737092E-2</v>
      </c>
      <c r="N78" s="8">
        <f t="shared" si="23"/>
        <v>63061.762695836158</v>
      </c>
      <c r="O78">
        <f t="shared" si="24"/>
        <v>3830538</v>
      </c>
      <c r="P78" s="8">
        <f>O78*(K78/(1-K78))*POWER(L78,K78)*(POWER(N77,1-K78)-POWER(N78,1-K78))+P77</f>
        <v>6972911536.7814369</v>
      </c>
      <c r="Q78" s="9">
        <f t="shared" si="25"/>
        <v>76610.759999999995</v>
      </c>
      <c r="R78" s="4">
        <f t="shared" si="26"/>
        <v>91017.391509775349</v>
      </c>
      <c r="S78" s="3">
        <f t="shared" si="27"/>
        <v>72183064233.307709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28">S32+S73</f>
        <v>24107142012.212814</v>
      </c>
      <c r="C85">
        <f t="shared" ref="C85:C90" si="29">1293900000000*1.23</f>
        <v>1591497000000</v>
      </c>
      <c r="F85" s="10">
        <f t="shared" ref="F85:F90" si="30">B85/C85*100</f>
        <v>1.5147463056614505</v>
      </c>
    </row>
    <row r="86" spans="1:7" ht="15" x14ac:dyDescent="0.25">
      <c r="A86" s="18">
        <v>1E-3</v>
      </c>
      <c r="B86" s="3">
        <f t="shared" si="28"/>
        <v>36818973228.10952</v>
      </c>
      <c r="C86">
        <f t="shared" si="29"/>
        <v>1591497000000</v>
      </c>
      <c r="F86" s="10">
        <f t="shared" si="30"/>
        <v>2.313480529847654</v>
      </c>
    </row>
    <row r="87" spans="1:7" ht="15" x14ac:dyDescent="0.25">
      <c r="A87" s="18">
        <v>2.5000000000000001E-3</v>
      </c>
      <c r="B87" s="3">
        <f t="shared" si="28"/>
        <v>52414530620.452652</v>
      </c>
      <c r="C87">
        <f t="shared" si="29"/>
        <v>1591497000000</v>
      </c>
      <c r="F87" s="10">
        <f t="shared" si="30"/>
        <v>3.2934105826434266</v>
      </c>
    </row>
    <row r="88" spans="1:7" ht="15" x14ac:dyDescent="0.25">
      <c r="A88" s="18">
        <v>5.0000000000000001E-3</v>
      </c>
      <c r="B88" s="3">
        <f t="shared" si="28"/>
        <v>86816493260.518494</v>
      </c>
      <c r="C88">
        <f t="shared" si="29"/>
        <v>1591497000000</v>
      </c>
      <c r="F88" s="10">
        <f t="shared" si="30"/>
        <v>5.4550208552399715</v>
      </c>
    </row>
    <row r="89" spans="1:7" ht="15" x14ac:dyDescent="0.25">
      <c r="A89" s="19">
        <v>0.01</v>
      </c>
      <c r="B89" s="3">
        <f t="shared" si="28"/>
        <v>143652710909.59271</v>
      </c>
      <c r="C89">
        <f t="shared" si="29"/>
        <v>1591497000000</v>
      </c>
      <c r="F89" s="10">
        <f t="shared" si="30"/>
        <v>9.0262633803012324</v>
      </c>
    </row>
    <row r="90" spans="1:7" ht="15" x14ac:dyDescent="0.25">
      <c r="A90" s="19">
        <v>0.02</v>
      </c>
      <c r="B90" s="3">
        <f t="shared" si="28"/>
        <v>219257780477.96051</v>
      </c>
      <c r="C90">
        <f t="shared" si="29"/>
        <v>1591497000000</v>
      </c>
      <c r="F90" s="10">
        <f t="shared" si="30"/>
        <v>13.776826502215242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tabSelected="1" topLeftCell="A73" workbookViewId="0">
      <selection activeCell="C97" sqref="C97"/>
    </sheetView>
  </sheetViews>
  <sheetFormatPr defaultRowHeight="12.75" x14ac:dyDescent="0.2"/>
  <cols>
    <col min="1" max="1" width="15.85546875" customWidth="1"/>
    <col min="2" max="2" width="13.140625" customWidth="1"/>
    <col min="3" max="5" width="10" customWidth="1"/>
    <col min="6" max="7" width="9.5703125" customWidth="1"/>
    <col min="8" max="9" width="10" customWidth="1"/>
    <col min="10" max="13" width="11" customWidth="1"/>
    <col min="15" max="15" width="14.28515625" customWidth="1"/>
    <col min="16" max="16" width="12.28515625" customWidth="1"/>
    <col min="17" max="17" width="11.5703125" customWidth="1"/>
    <col min="18" max="18" width="14.5703125" customWidth="1"/>
    <col min="19" max="19" width="12" customWidth="1"/>
    <col min="20" max="20" width="11.85546875" customWidth="1"/>
    <col min="21" max="21" width="12.140625" customWidth="1"/>
    <col min="22" max="22" width="11.42578125" customWidth="1"/>
    <col min="23" max="23" width="21.28515625" customWidth="1"/>
    <col min="24" max="24" width="12.855468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6" spans="1:19" x14ac:dyDescent="0.2">
      <c r="A6" t="s">
        <v>0</v>
      </c>
      <c r="B6" t="s">
        <v>1</v>
      </c>
      <c r="C6" t="s">
        <v>19</v>
      </c>
      <c r="D6" t="s">
        <v>5</v>
      </c>
      <c r="E6" t="s">
        <v>19</v>
      </c>
      <c r="F6" t="s">
        <v>6</v>
      </c>
      <c r="G6" t="s">
        <v>19</v>
      </c>
      <c r="H6" t="s">
        <v>7</v>
      </c>
      <c r="I6" t="s">
        <v>19</v>
      </c>
      <c r="J6" t="s">
        <v>8</v>
      </c>
      <c r="K6" t="s">
        <v>19</v>
      </c>
      <c r="L6" t="s">
        <v>9</v>
      </c>
      <c r="M6" t="s">
        <v>19</v>
      </c>
      <c r="N6" t="s">
        <v>2</v>
      </c>
      <c r="O6" t="s">
        <v>19</v>
      </c>
      <c r="P6" t="s">
        <v>20</v>
      </c>
      <c r="Q6" t="s">
        <v>21</v>
      </c>
      <c r="R6" t="s">
        <v>22</v>
      </c>
      <c r="S6" t="s">
        <v>23</v>
      </c>
    </row>
    <row r="7" spans="1:19" x14ac:dyDescent="0.2">
      <c r="A7">
        <v>1001</v>
      </c>
      <c r="B7">
        <v>86</v>
      </c>
      <c r="C7">
        <v>790.06772009029339</v>
      </c>
      <c r="D7">
        <v>56</v>
      </c>
      <c r="E7">
        <v>657.5857209957727</v>
      </c>
      <c r="F7">
        <v>54</v>
      </c>
      <c r="G7">
        <v>283.22880841594167</v>
      </c>
      <c r="H7">
        <v>128</v>
      </c>
      <c r="I7">
        <v>100.37281330656725</v>
      </c>
      <c r="J7">
        <v>223</v>
      </c>
      <c r="K7">
        <v>40.822277299897941</v>
      </c>
      <c r="L7">
        <v>186</v>
      </c>
      <c r="M7">
        <v>17.197327044025155</v>
      </c>
      <c r="N7">
        <v>141</v>
      </c>
      <c r="O7">
        <v>3.9602478713667688</v>
      </c>
      <c r="P7">
        <f>(B7*C7)+(D7*E7)+(F7*G7)+(H7*I7)+(J7*K7)+(L7*M7)+(N7*O7)</f>
        <v>145773.16567915858</v>
      </c>
    </row>
    <row r="8" spans="1:19" x14ac:dyDescent="0.2">
      <c r="A8">
        <v>2001</v>
      </c>
      <c r="B8">
        <v>41</v>
      </c>
      <c r="C8">
        <v>790.06772009029339</v>
      </c>
      <c r="D8">
        <v>70</v>
      </c>
      <c r="E8">
        <v>657.5857209957727</v>
      </c>
      <c r="F8">
        <v>182</v>
      </c>
      <c r="G8">
        <v>283.22880841594167</v>
      </c>
      <c r="H8">
        <v>391</v>
      </c>
      <c r="I8">
        <v>100.37281330656725</v>
      </c>
      <c r="J8">
        <v>705</v>
      </c>
      <c r="K8">
        <v>40.822277299897941</v>
      </c>
      <c r="L8">
        <v>546</v>
      </c>
      <c r="M8">
        <v>17.197327044025155</v>
      </c>
      <c r="N8">
        <v>388</v>
      </c>
      <c r="O8">
        <v>3.9602478713667688</v>
      </c>
      <c r="P8">
        <f t="shared" ref="P8:P22" si="0">(B8*C8)+(D8*E8)+(F8*G8)+(H8*I8)+(J8*K8)+(L8*M8)+(N8*O8)</f>
        <v>208923.21236453138</v>
      </c>
    </row>
    <row r="9" spans="1:19" x14ac:dyDescent="0.2">
      <c r="A9">
        <v>3001</v>
      </c>
      <c r="B9">
        <v>15</v>
      </c>
      <c r="C9">
        <v>790.06772009029339</v>
      </c>
      <c r="D9">
        <v>35</v>
      </c>
      <c r="E9">
        <v>657.5857209957727</v>
      </c>
      <c r="F9">
        <v>99</v>
      </c>
      <c r="G9">
        <v>283.22880841594167</v>
      </c>
      <c r="H9">
        <v>270</v>
      </c>
      <c r="I9">
        <v>100.37281330656725</v>
      </c>
      <c r="J9">
        <v>425</v>
      </c>
      <c r="K9">
        <v>40.822277299897941</v>
      </c>
      <c r="L9">
        <v>370</v>
      </c>
      <c r="M9">
        <v>17.197327044025155</v>
      </c>
      <c r="N9">
        <v>263</v>
      </c>
      <c r="O9">
        <v>3.9602478713667688</v>
      </c>
      <c r="P9">
        <f t="shared" si="0"/>
        <v>114760.85171107322</v>
      </c>
    </row>
    <row r="10" spans="1:19" x14ac:dyDescent="0.2">
      <c r="A10">
        <v>4001</v>
      </c>
      <c r="B10">
        <v>10</v>
      </c>
      <c r="C10">
        <v>790.06772009029339</v>
      </c>
      <c r="D10">
        <v>22</v>
      </c>
      <c r="E10">
        <v>657.5857209957727</v>
      </c>
      <c r="F10">
        <v>77</v>
      </c>
      <c r="G10">
        <v>283.22880841594167</v>
      </c>
      <c r="H10">
        <v>173</v>
      </c>
      <c r="I10">
        <v>100.37281330656725</v>
      </c>
      <c r="J10">
        <v>300</v>
      </c>
      <c r="K10">
        <v>40.822277299897941</v>
      </c>
      <c r="L10">
        <v>235</v>
      </c>
      <c r="M10">
        <v>17.197327044025155</v>
      </c>
      <c r="N10">
        <v>159</v>
      </c>
      <c r="O10">
        <v>3.9602478713667688</v>
      </c>
      <c r="P10">
        <f t="shared" si="0"/>
        <v>78458.412469736184</v>
      </c>
    </row>
    <row r="11" spans="1:19" x14ac:dyDescent="0.2">
      <c r="A11">
        <v>5001</v>
      </c>
      <c r="B11">
        <v>29</v>
      </c>
      <c r="C11">
        <v>790.06772009029339</v>
      </c>
      <c r="D11">
        <v>56</v>
      </c>
      <c r="E11">
        <v>657.5857209957727</v>
      </c>
      <c r="F11">
        <v>147</v>
      </c>
      <c r="G11">
        <v>283.22880841594167</v>
      </c>
      <c r="H11">
        <v>405</v>
      </c>
      <c r="I11">
        <v>100.37281330656725</v>
      </c>
      <c r="J11">
        <v>785</v>
      </c>
      <c r="K11">
        <v>40.822277299897941</v>
      </c>
      <c r="L11">
        <v>704</v>
      </c>
      <c r="M11">
        <v>17.197327044025155</v>
      </c>
      <c r="N11">
        <v>462</v>
      </c>
      <c r="O11">
        <v>3.9602478713667688</v>
      </c>
      <c r="P11">
        <f t="shared" si="0"/>
        <v>188004.42892066998</v>
      </c>
    </row>
    <row r="12" spans="1:19" x14ac:dyDescent="0.2">
      <c r="A12">
        <v>10001</v>
      </c>
      <c r="B12">
        <v>4</v>
      </c>
      <c r="C12">
        <v>790.06772009029339</v>
      </c>
      <c r="D12">
        <v>17</v>
      </c>
      <c r="E12">
        <v>657.5857209957727</v>
      </c>
      <c r="F12">
        <v>55</v>
      </c>
      <c r="G12">
        <v>283.22880841594167</v>
      </c>
      <c r="H12">
        <v>168</v>
      </c>
      <c r="I12">
        <v>100.37281330656725</v>
      </c>
      <c r="J12">
        <v>306</v>
      </c>
      <c r="K12">
        <v>40.822277299897941</v>
      </c>
      <c r="L12">
        <v>337</v>
      </c>
      <c r="M12">
        <v>17.197327044025155</v>
      </c>
      <c r="N12">
        <v>216</v>
      </c>
      <c r="O12">
        <v>3.9602478713667688</v>
      </c>
      <c r="P12">
        <f t="shared" si="0"/>
        <v>65921.974843489865</v>
      </c>
      <c r="Q12" s="3">
        <f>P12+Q13</f>
        <v>169775.39541822835</v>
      </c>
      <c r="R12">
        <v>2903100</v>
      </c>
      <c r="S12">
        <f>Q12/R12*100</f>
        <v>5.8480725919957406</v>
      </c>
    </row>
    <row r="13" spans="1:19" x14ac:dyDescent="0.2">
      <c r="A13">
        <v>15001</v>
      </c>
      <c r="B13">
        <v>1</v>
      </c>
      <c r="C13">
        <v>790.06772009029339</v>
      </c>
      <c r="D13">
        <v>14</v>
      </c>
      <c r="E13">
        <v>657.5857209957727</v>
      </c>
      <c r="F13">
        <v>34</v>
      </c>
      <c r="G13">
        <v>283.22880841594167</v>
      </c>
      <c r="H13">
        <v>83</v>
      </c>
      <c r="I13">
        <v>100.37281330656725</v>
      </c>
      <c r="J13">
        <v>163</v>
      </c>
      <c r="K13">
        <v>40.822277299897941</v>
      </c>
      <c r="L13">
        <v>158</v>
      </c>
      <c r="M13">
        <v>17.197327044025155</v>
      </c>
      <c r="N13">
        <v>120</v>
      </c>
      <c r="O13">
        <v>3.9602478713667688</v>
      </c>
      <c r="P13">
        <f t="shared" si="0"/>
        <v>37803.42942202156</v>
      </c>
      <c r="Q13" s="3">
        <f>P13+Q14</f>
        <v>103853.42057473847</v>
      </c>
      <c r="R13">
        <v>2903100</v>
      </c>
      <c r="S13">
        <f t="shared" ref="S13:S21" si="1">Q13/R13*100</f>
        <v>3.5773283929157964</v>
      </c>
    </row>
    <row r="14" spans="1:19" x14ac:dyDescent="0.2">
      <c r="A14">
        <v>20001</v>
      </c>
      <c r="B14">
        <v>4</v>
      </c>
      <c r="C14">
        <v>790.06772009029339</v>
      </c>
      <c r="D14">
        <v>6</v>
      </c>
      <c r="E14">
        <v>657.5857209957727</v>
      </c>
      <c r="F14">
        <v>18</v>
      </c>
      <c r="G14">
        <v>283.22880841594167</v>
      </c>
      <c r="H14">
        <v>39</v>
      </c>
      <c r="I14">
        <v>100.37281330656725</v>
      </c>
      <c r="J14">
        <v>106</v>
      </c>
      <c r="K14">
        <v>40.822277299897941</v>
      </c>
      <c r="L14">
        <v>101</v>
      </c>
      <c r="M14">
        <v>17.197327044025155</v>
      </c>
      <c r="N14">
        <v>73</v>
      </c>
      <c r="O14">
        <v>3.9602478713667688</v>
      </c>
      <c r="P14">
        <f t="shared" si="0"/>
        <v>22471.632996624379</v>
      </c>
      <c r="Q14" s="3">
        <f>P14+Q15</f>
        <v>66049.991152716917</v>
      </c>
      <c r="R14">
        <v>2903100</v>
      </c>
      <c r="S14">
        <f t="shared" si="1"/>
        <v>2.2751538408155736</v>
      </c>
    </row>
    <row r="15" spans="1:19" x14ac:dyDescent="0.2">
      <c r="A15">
        <v>25001</v>
      </c>
      <c r="B15">
        <v>1</v>
      </c>
      <c r="C15">
        <v>790.06772009029339</v>
      </c>
      <c r="D15">
        <v>4</v>
      </c>
      <c r="E15">
        <v>657.5857209957727</v>
      </c>
      <c r="F15">
        <v>11</v>
      </c>
      <c r="G15">
        <v>283.22880841594167</v>
      </c>
      <c r="H15">
        <v>36</v>
      </c>
      <c r="I15">
        <v>100.37281330656725</v>
      </c>
      <c r="J15">
        <v>61</v>
      </c>
      <c r="K15">
        <v>40.822277299897941</v>
      </c>
      <c r="L15">
        <v>60</v>
      </c>
      <c r="M15">
        <v>17.197327044025155</v>
      </c>
      <c r="N15">
        <v>53</v>
      </c>
      <c r="O15">
        <v>3.9602478713667688</v>
      </c>
      <c r="P15">
        <f t="shared" si="0"/>
        <v>13881.240450802887</v>
      </c>
      <c r="Q15" s="3">
        <f>P15+Q16</f>
        <v>43578.358156092545</v>
      </c>
      <c r="R15">
        <v>2903100</v>
      </c>
      <c r="S15">
        <f t="shared" si="1"/>
        <v>1.5010973840409405</v>
      </c>
    </row>
    <row r="16" spans="1:19" x14ac:dyDescent="0.2">
      <c r="A16">
        <v>30001</v>
      </c>
      <c r="B16">
        <v>1</v>
      </c>
      <c r="C16">
        <v>790.06772009029339</v>
      </c>
      <c r="D16">
        <v>3</v>
      </c>
      <c r="E16">
        <v>657.5857209957727</v>
      </c>
      <c r="F16">
        <v>16</v>
      </c>
      <c r="G16">
        <v>283.22880841594167</v>
      </c>
      <c r="H16">
        <v>20</v>
      </c>
      <c r="I16">
        <v>100.37281330656725</v>
      </c>
      <c r="J16">
        <v>62</v>
      </c>
      <c r="K16">
        <v>40.822277299897941</v>
      </c>
      <c r="L16">
        <v>94</v>
      </c>
      <c r="M16">
        <v>17.197327044025155</v>
      </c>
      <c r="N16">
        <v>62</v>
      </c>
      <c r="O16">
        <v>3.9602478713667688</v>
      </c>
      <c r="P16">
        <f t="shared" si="0"/>
        <v>13695.007386620799</v>
      </c>
      <c r="Q16" s="3">
        <f>P16+Q17</f>
        <v>29697.11770528966</v>
      </c>
      <c r="R16">
        <v>2903100</v>
      </c>
      <c r="S16">
        <f t="shared" si="1"/>
        <v>1.022945048578749</v>
      </c>
    </row>
    <row r="17" spans="1:21" x14ac:dyDescent="0.2">
      <c r="A17">
        <v>40001</v>
      </c>
      <c r="B17">
        <v>1</v>
      </c>
      <c r="C17">
        <v>790.06772009029339</v>
      </c>
      <c r="D17">
        <v>2</v>
      </c>
      <c r="E17">
        <v>657.5857209957727</v>
      </c>
      <c r="F17">
        <v>3</v>
      </c>
      <c r="G17">
        <v>283.22880841594167</v>
      </c>
      <c r="H17">
        <v>13</v>
      </c>
      <c r="I17">
        <v>100.37281330656725</v>
      </c>
      <c r="J17">
        <v>36</v>
      </c>
      <c r="K17">
        <v>40.822277299897941</v>
      </c>
      <c r="L17">
        <v>38</v>
      </c>
      <c r="M17">
        <v>17.197327044025155</v>
      </c>
      <c r="N17">
        <v>23</v>
      </c>
      <c r="O17">
        <v>3.9602478713667688</v>
      </c>
      <c r="P17">
        <f t="shared" si="0"/>
        <v>6473.9582718257561</v>
      </c>
      <c r="Q17" s="3">
        <f>P17+P18+P19+P20+P21</f>
        <v>16002.110318668863</v>
      </c>
      <c r="R17">
        <v>2903100</v>
      </c>
      <c r="S17">
        <f t="shared" si="1"/>
        <v>0.55120768553163391</v>
      </c>
    </row>
    <row r="18" spans="1:21" x14ac:dyDescent="0.2">
      <c r="A18">
        <v>50001</v>
      </c>
      <c r="C18">
        <v>790.06772009029339</v>
      </c>
      <c r="D18">
        <v>1</v>
      </c>
      <c r="E18">
        <v>657.5857209957727</v>
      </c>
      <c r="F18">
        <v>3</v>
      </c>
      <c r="G18">
        <v>283.22880841594167</v>
      </c>
      <c r="H18">
        <v>7</v>
      </c>
      <c r="I18">
        <v>100.37281330656725</v>
      </c>
      <c r="J18">
        <v>19</v>
      </c>
      <c r="K18">
        <v>40.822277299897941</v>
      </c>
      <c r="L18">
        <v>23</v>
      </c>
      <c r="M18">
        <v>17.197327044025155</v>
      </c>
      <c r="N18">
        <v>19</v>
      </c>
      <c r="O18">
        <v>3.9602478713667688</v>
      </c>
      <c r="P18">
        <f t="shared" si="0"/>
        <v>3456.2883396561765</v>
      </c>
      <c r="Q18" s="3">
        <f>P18+P19+P20+P21</f>
        <v>9528.1520468431063</v>
      </c>
      <c r="R18">
        <v>2903100</v>
      </c>
      <c r="S18">
        <f t="shared" si="1"/>
        <v>0.32820612610117139</v>
      </c>
    </row>
    <row r="19" spans="1:21" x14ac:dyDescent="0.2">
      <c r="A19">
        <v>60001</v>
      </c>
      <c r="C19">
        <v>790.06772009029339</v>
      </c>
      <c r="E19">
        <v>657.5857209957727</v>
      </c>
      <c r="F19">
        <v>2</v>
      </c>
      <c r="G19">
        <v>283.22880841594167</v>
      </c>
      <c r="H19">
        <v>6</v>
      </c>
      <c r="I19">
        <v>100.37281330656725</v>
      </c>
      <c r="J19">
        <v>7</v>
      </c>
      <c r="K19">
        <v>40.822277299897941</v>
      </c>
      <c r="L19">
        <v>20</v>
      </c>
      <c r="M19">
        <v>17.197327044025155</v>
      </c>
      <c r="N19">
        <v>12</v>
      </c>
      <c r="O19">
        <v>3.9602478713667688</v>
      </c>
      <c r="P19">
        <f t="shared" si="0"/>
        <v>1845.9199531074767</v>
      </c>
      <c r="Q19" s="3">
        <f>P20+P19+P21</f>
        <v>6071.8637071869298</v>
      </c>
      <c r="R19">
        <v>2903100</v>
      </c>
      <c r="S19">
        <f t="shared" si="1"/>
        <v>0.20915103534797042</v>
      </c>
    </row>
    <row r="20" spans="1:21" x14ac:dyDescent="0.2">
      <c r="A20">
        <v>70001</v>
      </c>
      <c r="C20">
        <v>790.06772009029339</v>
      </c>
      <c r="E20">
        <v>657.5857209957727</v>
      </c>
      <c r="F20">
        <v>2</v>
      </c>
      <c r="G20">
        <v>283.22880841594167</v>
      </c>
      <c r="H20">
        <v>5</v>
      </c>
      <c r="I20">
        <v>100.37281330656725</v>
      </c>
      <c r="J20">
        <v>9</v>
      </c>
      <c r="K20">
        <v>40.822277299897941</v>
      </c>
      <c r="L20">
        <v>20</v>
      </c>
      <c r="M20">
        <v>17.197327044025155</v>
      </c>
      <c r="N20">
        <v>10</v>
      </c>
      <c r="O20">
        <v>3.9602478713667688</v>
      </c>
      <c r="P20">
        <f t="shared" si="0"/>
        <v>1819.2711986579718</v>
      </c>
      <c r="Q20" s="3">
        <f>P21+P20</f>
        <v>4225.9437540794534</v>
      </c>
      <c r="R20">
        <v>2903100</v>
      </c>
      <c r="S20">
        <f t="shared" si="1"/>
        <v>0.14556659274842249</v>
      </c>
    </row>
    <row r="21" spans="1:21" x14ac:dyDescent="0.2">
      <c r="A21" t="s">
        <v>16</v>
      </c>
      <c r="C21">
        <v>790.06772009029339</v>
      </c>
      <c r="D21">
        <v>1</v>
      </c>
      <c r="E21">
        <v>657.5857209957727</v>
      </c>
      <c r="F21">
        <v>1</v>
      </c>
      <c r="G21">
        <v>283.22880841594167</v>
      </c>
      <c r="H21">
        <v>6</v>
      </c>
      <c r="I21">
        <v>100.37281330656725</v>
      </c>
      <c r="J21">
        <v>15</v>
      </c>
      <c r="K21">
        <v>40.822277299897941</v>
      </c>
      <c r="L21">
        <v>13</v>
      </c>
      <c r="M21">
        <v>17.197327044025155</v>
      </c>
      <c r="N21">
        <v>7</v>
      </c>
      <c r="O21">
        <v>3.9602478713667688</v>
      </c>
      <c r="P21">
        <f t="shared" si="0"/>
        <v>2406.6725554214813</v>
      </c>
      <c r="Q21" s="3">
        <f>P21</f>
        <v>2406.6725554214813</v>
      </c>
      <c r="R21">
        <v>2903100</v>
      </c>
      <c r="S21">
        <f t="shared" si="1"/>
        <v>8.2900091468481318E-2</v>
      </c>
    </row>
    <row r="22" spans="1:21" x14ac:dyDescent="0.2">
      <c r="A22" t="s">
        <v>3</v>
      </c>
      <c r="B22">
        <f t="shared" ref="B22:N22" si="2">SUM(B7:B21)</f>
        <v>193</v>
      </c>
      <c r="C22">
        <v>790.06772009029339</v>
      </c>
      <c r="D22">
        <f t="shared" si="2"/>
        <v>287</v>
      </c>
      <c r="E22">
        <v>657.5857209957727</v>
      </c>
      <c r="F22">
        <f t="shared" si="2"/>
        <v>704</v>
      </c>
      <c r="G22">
        <v>283.22880841594167</v>
      </c>
      <c r="H22">
        <f t="shared" si="2"/>
        <v>1750</v>
      </c>
      <c r="I22">
        <v>100.37281330656725</v>
      </c>
      <c r="J22">
        <f t="shared" si="2"/>
        <v>3222</v>
      </c>
      <c r="K22">
        <v>40.822277299897941</v>
      </c>
      <c r="L22">
        <f t="shared" si="2"/>
        <v>2905</v>
      </c>
      <c r="M22">
        <v>17.197327044025155</v>
      </c>
      <c r="N22">
        <f t="shared" si="2"/>
        <v>2008</v>
      </c>
      <c r="O22">
        <v>3.9602478713667688</v>
      </c>
      <c r="P22">
        <f t="shared" si="0"/>
        <v>905695.46656339767</v>
      </c>
    </row>
    <row r="26" spans="1:21" x14ac:dyDescent="0.2">
      <c r="A26" t="s">
        <v>15</v>
      </c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t="s">
        <v>26</v>
      </c>
      <c r="B31" s="2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41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t="s">
        <v>16</v>
      </c>
      <c r="B32" s="6">
        <v>5.0000000000000001E-4</v>
      </c>
      <c r="C32" s="27" t="s">
        <v>87</v>
      </c>
      <c r="K32">
        <v>1.578461027594914</v>
      </c>
      <c r="L32">
        <v>1116.3923952867697</v>
      </c>
      <c r="M32">
        <f t="shared" ref="M32:M37" si="3">POWER(B32,1/K32)</f>
        <v>8.1040762192891181E-3</v>
      </c>
      <c r="N32">
        <f t="shared" ref="N32:N37" si="4">L32/M32</f>
        <v>137756.89727961351</v>
      </c>
      <c r="O32">
        <v>2903100</v>
      </c>
      <c r="P32">
        <f>O32*(K32/(1-K32))*POWER(L32,K32)*(-1)*POWER(N32,1-K32)</f>
        <v>545638632.08370805</v>
      </c>
      <c r="Q32">
        <f t="shared" ref="Q32:Q37" si="5">B32*O32</f>
        <v>1451.55</v>
      </c>
      <c r="R32">
        <f t="shared" ref="R32:R37" si="6">P32/Q32</f>
        <v>375900.68002046645</v>
      </c>
      <c r="S32">
        <f t="shared" ref="S32:S37" si="7">26.6120689655172*P32</f>
        <v>14520572907.262104</v>
      </c>
    </row>
    <row r="33" spans="1:19" ht="15" x14ac:dyDescent="0.25">
      <c r="A33" t="s">
        <v>90</v>
      </c>
      <c r="B33" s="6">
        <v>1E-3</v>
      </c>
      <c r="C33">
        <f>S21/100</f>
        <v>8.2900091468481323E-4</v>
      </c>
      <c r="D33">
        <f>S20/100</f>
        <v>1.4556659274842249E-3</v>
      </c>
      <c r="E33">
        <v>100000</v>
      </c>
      <c r="F33">
        <v>70000</v>
      </c>
      <c r="G33">
        <f>D33/C33</f>
        <v>1.7559280112949818</v>
      </c>
      <c r="H33">
        <f>LN(G33)</f>
        <v>0.56299749852688985</v>
      </c>
      <c r="I33">
        <f>E33/F33</f>
        <v>1.4285714285714286</v>
      </c>
      <c r="J33">
        <f>LN(I33)</f>
        <v>0.35667494393873239</v>
      </c>
      <c r="K33">
        <f>H33/J33</f>
        <v>1.578461027594914</v>
      </c>
      <c r="L33">
        <f>'1915'!L29</f>
        <v>687.53577150570334</v>
      </c>
      <c r="M33">
        <f t="shared" si="3"/>
        <v>1.257229577233158E-2</v>
      </c>
      <c r="N33">
        <f t="shared" si="4"/>
        <v>54686.573077511777</v>
      </c>
      <c r="O33">
        <v>2903100</v>
      </c>
      <c r="P33">
        <f>O33*(K33/(1-K33))*POWER(L33,K33)*(POWER(N32,1-K33)-POWER(N33,1-K33))+P32</f>
        <v>724986334.32951629</v>
      </c>
      <c r="Q33">
        <f t="shared" si="5"/>
        <v>2903.1</v>
      </c>
      <c r="R33">
        <f t="shared" si="6"/>
        <v>249728.33671920234</v>
      </c>
      <c r="S33">
        <f t="shared" si="7"/>
        <v>19293386328.234596</v>
      </c>
    </row>
    <row r="34" spans="1:19" ht="15" x14ac:dyDescent="0.25">
      <c r="A34" t="s">
        <v>100</v>
      </c>
      <c r="B34" s="6">
        <v>2.5000000000000001E-3</v>
      </c>
      <c r="C34">
        <f>S19/100</f>
        <v>2.0915103534797043E-3</v>
      </c>
      <c r="D34">
        <f>S18/100</f>
        <v>3.2820612610117137E-3</v>
      </c>
      <c r="E34">
        <v>60000</v>
      </c>
      <c r="F34">
        <v>50000</v>
      </c>
      <c r="G34">
        <f>D34/C34</f>
        <v>1.56923022424979</v>
      </c>
      <c r="H34">
        <f>LN(G34)</f>
        <v>0.45058519609677317</v>
      </c>
      <c r="I34">
        <f>E34/F34</f>
        <v>1.2</v>
      </c>
      <c r="J34">
        <f>LN(I34)</f>
        <v>0.18232155679395459</v>
      </c>
      <c r="K34">
        <f>H34/J34</f>
        <v>2.4713764187851299</v>
      </c>
      <c r="L34">
        <f>F34*((D34)^(1/K34))</f>
        <v>4942.2128084610567</v>
      </c>
      <c r="M34">
        <f t="shared" si="3"/>
        <v>8.8536253009887281E-2</v>
      </c>
      <c r="N34">
        <f t="shared" si="4"/>
        <v>55821.345950896924</v>
      </c>
      <c r="O34">
        <v>2903100</v>
      </c>
      <c r="P34">
        <f t="shared" ref="P34:P37" si="8">O34*(K34/(1-K34))*POWER(L34,K34)*(POWER(N33,1-K34)-POWER(N34,1-K34))+P33</f>
        <v>704108734.05705249</v>
      </c>
      <c r="Q34">
        <f t="shared" si="5"/>
        <v>7257.75</v>
      </c>
      <c r="R34">
        <f t="shared" si="6"/>
        <v>97014.740664400466</v>
      </c>
      <c r="S34">
        <f t="shared" si="7"/>
        <v>18737790189.949291</v>
      </c>
    </row>
    <row r="35" spans="1:19" ht="15" x14ac:dyDescent="0.25">
      <c r="A35" t="s">
        <v>94</v>
      </c>
      <c r="B35" s="6">
        <v>5.0000000000000001E-3</v>
      </c>
      <c r="C35">
        <f>S18/100</f>
        <v>3.2820612610117137E-3</v>
      </c>
      <c r="D35">
        <f>S17/100</f>
        <v>5.5120768553163389E-3</v>
      </c>
      <c r="E35">
        <v>50000</v>
      </c>
      <c r="F35">
        <v>40000</v>
      </c>
      <c r="G35">
        <f>D35/C35</f>
        <v>1.6794558105284147</v>
      </c>
      <c r="H35">
        <f>LN(G35)</f>
        <v>0.51846981863649089</v>
      </c>
      <c r="I35">
        <f>E35/F35</f>
        <v>1.25</v>
      </c>
      <c r="J35">
        <f>LN(I35)</f>
        <v>0.22314355131420976</v>
      </c>
      <c r="K35">
        <f>H35/J35</f>
        <v>2.3234810756705691</v>
      </c>
      <c r="L35">
        <f>F35*((D35)^(1/K35))</f>
        <v>4265.2805657112031</v>
      </c>
      <c r="M35">
        <f t="shared" si="3"/>
        <v>0.10224985272381484</v>
      </c>
      <c r="N35">
        <f t="shared" si="4"/>
        <v>41714.295444826435</v>
      </c>
      <c r="O35">
        <v>2903100</v>
      </c>
      <c r="P35">
        <f t="shared" si="8"/>
        <v>1044188863.8956685</v>
      </c>
      <c r="Q35">
        <f t="shared" si="5"/>
        <v>14515.5</v>
      </c>
      <c r="R35">
        <f t="shared" si="6"/>
        <v>71936.12785613093</v>
      </c>
      <c r="S35">
        <f t="shared" si="7"/>
        <v>27788026059.016582</v>
      </c>
    </row>
    <row r="36" spans="1:19" ht="15" x14ac:dyDescent="0.25">
      <c r="A36" t="s">
        <v>92</v>
      </c>
      <c r="B36" s="6">
        <v>0.01</v>
      </c>
      <c r="C36">
        <f>S17/100</f>
        <v>5.5120768553163389E-3</v>
      </c>
      <c r="D36">
        <f>S16/100</f>
        <v>1.0229450485787489E-2</v>
      </c>
      <c r="E36">
        <v>40000</v>
      </c>
      <c r="F36">
        <v>30000</v>
      </c>
      <c r="G36">
        <f>D36/C36</f>
        <v>1.8558250826857203</v>
      </c>
      <c r="H36">
        <f>LN(G36)</f>
        <v>0.61832938568013363</v>
      </c>
      <c r="I36">
        <f>E36/F36</f>
        <v>1.3333333333333333</v>
      </c>
      <c r="J36">
        <f>LN(I36)</f>
        <v>0.28768207245178085</v>
      </c>
      <c r="K36">
        <f>H36/J36</f>
        <v>2.149349733232937</v>
      </c>
      <c r="L36">
        <f>F36*((D36)^(1/K36))</f>
        <v>3557.8785288446129</v>
      </c>
      <c r="M36">
        <f t="shared" si="3"/>
        <v>0.11735078746715309</v>
      </c>
      <c r="N36">
        <f t="shared" si="4"/>
        <v>30318.318314144042</v>
      </c>
      <c r="O36">
        <v>2903100</v>
      </c>
      <c r="P36">
        <f t="shared" si="8"/>
        <v>1549527734.4785733</v>
      </c>
      <c r="Q36">
        <f t="shared" si="5"/>
        <v>29031</v>
      </c>
      <c r="R36">
        <f t="shared" si="6"/>
        <v>53374.93487921785</v>
      </c>
      <c r="S36">
        <f t="shared" si="7"/>
        <v>41236138933.925415</v>
      </c>
    </row>
    <row r="37" spans="1:19" ht="15" x14ac:dyDescent="0.25">
      <c r="A37" t="s">
        <v>95</v>
      </c>
      <c r="B37" s="6">
        <v>0.02</v>
      </c>
      <c r="C37">
        <f>S15/100</f>
        <v>1.5010973840409406E-2</v>
      </c>
      <c r="D37">
        <f>S14/100</f>
        <v>2.2751538408155737E-2</v>
      </c>
      <c r="E37">
        <v>25000</v>
      </c>
      <c r="F37">
        <v>20000</v>
      </c>
      <c r="G37">
        <f>D37/C37</f>
        <v>1.5156603861975164</v>
      </c>
      <c r="H37">
        <f>LN(G37)</f>
        <v>0.41585124246539779</v>
      </c>
      <c r="I37">
        <f>E37/F37</f>
        <v>1.25</v>
      </c>
      <c r="J37">
        <f>LN(I37)</f>
        <v>0.22314355131420976</v>
      </c>
      <c r="K37">
        <f>H37/J37</f>
        <v>1.8636041239651833</v>
      </c>
      <c r="L37">
        <f>F37*((D37)^(1/K37))</f>
        <v>2626.7017661268114</v>
      </c>
      <c r="M37">
        <f t="shared" si="3"/>
        <v>0.12255803453784023</v>
      </c>
      <c r="N37">
        <f t="shared" si="4"/>
        <v>21432.309811690135</v>
      </c>
      <c r="O37">
        <v>2903100</v>
      </c>
      <c r="P37">
        <f t="shared" si="8"/>
        <v>2244611132.9992228</v>
      </c>
      <c r="Q37">
        <f t="shared" si="5"/>
        <v>58062</v>
      </c>
      <c r="R37">
        <f t="shared" si="6"/>
        <v>38658.866952554556</v>
      </c>
      <c r="S37">
        <f t="shared" si="7"/>
        <v>59733746272.143013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1001</v>
      </c>
      <c r="B50">
        <v>12</v>
      </c>
      <c r="C50">
        <v>1688.7816646562119</v>
      </c>
      <c r="D50">
        <v>40</v>
      </c>
      <c r="E50">
        <v>983.14606741573027</v>
      </c>
      <c r="F50">
        <v>103</v>
      </c>
      <c r="G50">
        <v>405.79710144927526</v>
      </c>
      <c r="H50">
        <v>276</v>
      </c>
      <c r="I50">
        <v>171.0654936461388</v>
      </c>
      <c r="J50">
        <v>399</v>
      </c>
      <c r="K50">
        <v>71.098471382865256</v>
      </c>
      <c r="L50">
        <v>430</v>
      </c>
      <c r="M50">
        <v>24.571749508565006</v>
      </c>
      <c r="N50">
        <v>324</v>
      </c>
      <c r="O50">
        <v>4.0026487574265746</v>
      </c>
      <c r="P50">
        <f>(B50*C50)+(D50*E50)+(F50*G50)+(H50*I50)+(J50*K50)+(L50*M50)+(N50*O50)</f>
        <v>188833.40093596579</v>
      </c>
    </row>
    <row r="51" spans="1:19" x14ac:dyDescent="0.2">
      <c r="A51">
        <v>2001</v>
      </c>
      <c r="B51">
        <v>2</v>
      </c>
      <c r="C51">
        <v>1688.7816646562119</v>
      </c>
      <c r="D51">
        <v>13</v>
      </c>
      <c r="E51">
        <v>983.14606741573027</v>
      </c>
      <c r="F51">
        <v>75</v>
      </c>
      <c r="G51">
        <v>405.79710144927526</v>
      </c>
      <c r="H51">
        <v>167</v>
      </c>
      <c r="I51">
        <v>171.0654936461388</v>
      </c>
      <c r="J51">
        <v>400</v>
      </c>
      <c r="K51">
        <v>71.098471382865256</v>
      </c>
      <c r="L51">
        <v>561</v>
      </c>
      <c r="M51">
        <v>24.571749508565006</v>
      </c>
      <c r="N51">
        <v>474</v>
      </c>
      <c r="O51">
        <v>4.0026487574265746</v>
      </c>
      <c r="P51">
        <f t="shared" ref="P51:P65" si="9">(B51*C51)+(D51*E51)+(F51*G51)+(H51*I51)+(J51*K51)+(L51*M51)+(N51*O51)</f>
        <v>119282.57779178901</v>
      </c>
    </row>
    <row r="52" spans="1:19" x14ac:dyDescent="0.2">
      <c r="A52">
        <v>3001</v>
      </c>
      <c r="B52">
        <v>0</v>
      </c>
      <c r="C52">
        <v>1688.7816646562119</v>
      </c>
      <c r="D52">
        <v>8</v>
      </c>
      <c r="E52">
        <v>983.14606741573027</v>
      </c>
      <c r="F52">
        <v>32</v>
      </c>
      <c r="G52">
        <v>405.79710144927526</v>
      </c>
      <c r="H52">
        <v>103</v>
      </c>
      <c r="I52">
        <v>171.0654936461388</v>
      </c>
      <c r="J52">
        <v>237</v>
      </c>
      <c r="K52">
        <v>71.098471382865256</v>
      </c>
      <c r="L52">
        <v>288</v>
      </c>
      <c r="M52">
        <v>24.571749508565006</v>
      </c>
      <c r="N52">
        <v>308</v>
      </c>
      <c r="O52">
        <v>4.0026487574265746</v>
      </c>
      <c r="P52">
        <f t="shared" si="9"/>
        <v>63630.239024748123</v>
      </c>
    </row>
    <row r="53" spans="1:19" x14ac:dyDescent="0.2">
      <c r="A53">
        <v>4001</v>
      </c>
      <c r="B53">
        <v>1</v>
      </c>
      <c r="C53">
        <v>1688.7816646562119</v>
      </c>
      <c r="D53">
        <v>4</v>
      </c>
      <c r="E53">
        <v>983.14606741573027</v>
      </c>
      <c r="F53">
        <v>19</v>
      </c>
      <c r="G53">
        <v>405.79710144927526</v>
      </c>
      <c r="H53">
        <v>58</v>
      </c>
      <c r="I53">
        <v>171.0654936461388</v>
      </c>
      <c r="J53">
        <v>130</v>
      </c>
      <c r="K53">
        <v>71.098471382865256</v>
      </c>
      <c r="L53">
        <v>229</v>
      </c>
      <c r="M53">
        <v>24.571749508565006</v>
      </c>
      <c r="N53">
        <v>188</v>
      </c>
      <c r="O53">
        <v>4.0026487574265746</v>
      </c>
      <c r="P53">
        <f t="shared" si="9"/>
        <v>38875.539376961475</v>
      </c>
    </row>
    <row r="54" spans="1:19" x14ac:dyDescent="0.2">
      <c r="A54">
        <v>5001</v>
      </c>
      <c r="B54">
        <v>1</v>
      </c>
      <c r="C54">
        <v>1688.7816646562119</v>
      </c>
      <c r="D54">
        <v>16</v>
      </c>
      <c r="E54">
        <v>983.14606741573027</v>
      </c>
      <c r="F54">
        <v>36</v>
      </c>
      <c r="G54">
        <v>405.79710144927526</v>
      </c>
      <c r="H54">
        <v>138</v>
      </c>
      <c r="I54">
        <v>171.0654936461388</v>
      </c>
      <c r="J54">
        <v>325</v>
      </c>
      <c r="K54">
        <v>71.098471382865256</v>
      </c>
      <c r="L54">
        <v>475</v>
      </c>
      <c r="M54">
        <v>24.571749508565006</v>
      </c>
      <c r="N54">
        <v>454</v>
      </c>
      <c r="O54">
        <v>4.0026487574265746</v>
      </c>
      <c r="P54">
        <f t="shared" si="9"/>
        <v>92230.639270520202</v>
      </c>
      <c r="Q54" s="3">
        <f t="shared" ref="Q54:Q59" si="10">P54+Q55</f>
        <v>143581.5752773087</v>
      </c>
      <c r="R54">
        <v>2859700</v>
      </c>
      <c r="S54">
        <f>Q54/R54*100</f>
        <v>5.0208614636957973</v>
      </c>
    </row>
    <row r="55" spans="1:19" x14ac:dyDescent="0.2">
      <c r="A55">
        <v>10001</v>
      </c>
      <c r="B55">
        <v>0</v>
      </c>
      <c r="C55">
        <v>1688.7816646562119</v>
      </c>
      <c r="D55">
        <v>1</v>
      </c>
      <c r="E55">
        <v>983.14606741573027</v>
      </c>
      <c r="F55">
        <v>13</v>
      </c>
      <c r="G55">
        <v>405.79710144927526</v>
      </c>
      <c r="H55">
        <v>39</v>
      </c>
      <c r="I55">
        <v>171.0654936461388</v>
      </c>
      <c r="J55">
        <v>80</v>
      </c>
      <c r="K55">
        <v>71.098471382865256</v>
      </c>
      <c r="L55">
        <v>130</v>
      </c>
      <c r="M55">
        <v>24.571749508565006</v>
      </c>
      <c r="N55">
        <v>145</v>
      </c>
      <c r="O55">
        <v>4.0026487574265746</v>
      </c>
      <c r="P55">
        <f t="shared" si="9"/>
        <v>22392.651855025248</v>
      </c>
      <c r="Q55" s="3">
        <f t="shared" si="10"/>
        <v>51350.936006788514</v>
      </c>
      <c r="R55">
        <v>2859700</v>
      </c>
      <c r="S55">
        <f>Q55/R55*100</f>
        <v>1.7956756305482573</v>
      </c>
    </row>
    <row r="56" spans="1:19" x14ac:dyDescent="0.2">
      <c r="A56">
        <v>15001</v>
      </c>
      <c r="B56">
        <v>0</v>
      </c>
      <c r="C56">
        <v>1688.7816646562119</v>
      </c>
      <c r="D56">
        <v>0</v>
      </c>
      <c r="E56">
        <v>983.14606741573027</v>
      </c>
      <c r="F56">
        <v>4</v>
      </c>
      <c r="G56">
        <v>405.79710144927526</v>
      </c>
      <c r="H56">
        <v>17</v>
      </c>
      <c r="I56">
        <v>171.0654936461388</v>
      </c>
      <c r="J56">
        <v>28</v>
      </c>
      <c r="K56">
        <v>71.098471382865256</v>
      </c>
      <c r="L56">
        <v>72</v>
      </c>
      <c r="M56">
        <v>24.571749508565006</v>
      </c>
      <c r="N56">
        <v>77</v>
      </c>
      <c r="O56">
        <v>4.0026487574265746</v>
      </c>
      <c r="P56">
        <f t="shared" si="9"/>
        <v>8599.4289154402159</v>
      </c>
      <c r="Q56" s="3">
        <f t="shared" si="10"/>
        <v>28958.284151763262</v>
      </c>
      <c r="R56">
        <v>2859700</v>
      </c>
      <c r="S56">
        <f t="shared" ref="S56:S64" si="11">Q56/R56*100</f>
        <v>1.0126336382055203</v>
      </c>
    </row>
    <row r="57" spans="1:19" x14ac:dyDescent="0.2">
      <c r="A57">
        <v>20001</v>
      </c>
      <c r="B57">
        <v>0</v>
      </c>
      <c r="C57">
        <v>1688.7816646562119</v>
      </c>
      <c r="D57">
        <v>2</v>
      </c>
      <c r="E57">
        <v>983.14606741573027</v>
      </c>
      <c r="F57">
        <v>3</v>
      </c>
      <c r="G57">
        <v>405.79710144927526</v>
      </c>
      <c r="H57">
        <v>13</v>
      </c>
      <c r="I57">
        <v>171.0654936461388</v>
      </c>
      <c r="J57">
        <v>27</v>
      </c>
      <c r="K57">
        <v>71.098471382865256</v>
      </c>
      <c r="L57">
        <v>38</v>
      </c>
      <c r="M57">
        <v>24.571749508565006</v>
      </c>
      <c r="N57">
        <v>31</v>
      </c>
      <c r="O57">
        <v>4.0026487574265746</v>
      </c>
      <c r="P57">
        <f t="shared" si="9"/>
        <v>8385.002176722146</v>
      </c>
      <c r="Q57" s="3">
        <f t="shared" si="10"/>
        <v>20358.855236323048</v>
      </c>
      <c r="R57">
        <v>2859700</v>
      </c>
      <c r="S57">
        <f t="shared" si="11"/>
        <v>0.71192276239895969</v>
      </c>
    </row>
    <row r="58" spans="1:19" x14ac:dyDescent="0.2">
      <c r="A58">
        <v>25001</v>
      </c>
      <c r="B58">
        <v>0</v>
      </c>
      <c r="C58">
        <v>1688.7816646562119</v>
      </c>
      <c r="D58">
        <v>0</v>
      </c>
      <c r="E58">
        <v>983.14606741573027</v>
      </c>
      <c r="F58">
        <v>1</v>
      </c>
      <c r="G58">
        <v>405.79710144927526</v>
      </c>
      <c r="H58">
        <v>8</v>
      </c>
      <c r="I58">
        <v>171.0654936461388</v>
      </c>
      <c r="J58">
        <v>11</v>
      </c>
      <c r="K58">
        <v>71.098471382865256</v>
      </c>
      <c r="L58">
        <v>20</v>
      </c>
      <c r="M58">
        <v>24.571749508565006</v>
      </c>
      <c r="N58">
        <v>22</v>
      </c>
      <c r="O58">
        <v>4.0026487574265746</v>
      </c>
      <c r="P58">
        <f t="shared" si="9"/>
        <v>3135.8974986645881</v>
      </c>
      <c r="Q58" s="3">
        <f t="shared" si="10"/>
        <v>11973.853059600904</v>
      </c>
      <c r="R58">
        <v>2859700</v>
      </c>
      <c r="S58">
        <f t="shared" si="11"/>
        <v>0.41871011153620674</v>
      </c>
    </row>
    <row r="59" spans="1:19" x14ac:dyDescent="0.2">
      <c r="A59">
        <v>30001</v>
      </c>
      <c r="B59">
        <v>0</v>
      </c>
      <c r="C59">
        <v>1688.7816646562119</v>
      </c>
      <c r="D59">
        <v>1</v>
      </c>
      <c r="E59">
        <v>983.14606741573027</v>
      </c>
      <c r="F59">
        <v>1</v>
      </c>
      <c r="G59">
        <v>405.79710144927526</v>
      </c>
      <c r="H59">
        <v>2</v>
      </c>
      <c r="I59">
        <v>171.0654936461388</v>
      </c>
      <c r="J59">
        <v>14</v>
      </c>
      <c r="K59">
        <v>71.098471382865256</v>
      </c>
      <c r="L59">
        <v>19</v>
      </c>
      <c r="M59">
        <v>24.571749508565006</v>
      </c>
      <c r="N59">
        <v>20</v>
      </c>
      <c r="O59">
        <v>4.0026487574265746</v>
      </c>
      <c r="P59">
        <f t="shared" si="9"/>
        <v>3273.3689713286635</v>
      </c>
      <c r="Q59" s="3">
        <f t="shared" si="10"/>
        <v>8837.955560936316</v>
      </c>
      <c r="R59">
        <v>2859700</v>
      </c>
      <c r="S59">
        <f t="shared" si="11"/>
        <v>0.30905184323307744</v>
      </c>
    </row>
    <row r="60" spans="1:19" x14ac:dyDescent="0.2">
      <c r="A60">
        <v>40001</v>
      </c>
      <c r="B60">
        <v>0</v>
      </c>
      <c r="C60">
        <v>1688.7816646562119</v>
      </c>
      <c r="D60">
        <v>0</v>
      </c>
      <c r="E60">
        <v>983.14606741573027</v>
      </c>
      <c r="F60">
        <v>1</v>
      </c>
      <c r="G60">
        <v>405.79710144927526</v>
      </c>
      <c r="H60">
        <v>1</v>
      </c>
      <c r="I60">
        <v>171.0654936461388</v>
      </c>
      <c r="J60">
        <v>6</v>
      </c>
      <c r="K60">
        <v>71.098471382865256</v>
      </c>
      <c r="L60">
        <v>11</v>
      </c>
      <c r="M60">
        <v>24.571749508565006</v>
      </c>
      <c r="N60">
        <v>10</v>
      </c>
      <c r="O60">
        <v>4.0026487574265746</v>
      </c>
      <c r="P60">
        <f t="shared" si="9"/>
        <v>1313.7691555610863</v>
      </c>
      <c r="Q60" s="3">
        <f>P60+P61+P62+P63+P64</f>
        <v>5564.586589607653</v>
      </c>
      <c r="R60">
        <v>2859700</v>
      </c>
      <c r="S60">
        <f t="shared" si="11"/>
        <v>0.1945863758299001</v>
      </c>
    </row>
    <row r="61" spans="1:19" x14ac:dyDescent="0.2">
      <c r="A61">
        <v>50001</v>
      </c>
      <c r="B61">
        <v>0</v>
      </c>
      <c r="C61">
        <v>1688.7816646562119</v>
      </c>
      <c r="D61">
        <v>0</v>
      </c>
      <c r="E61">
        <v>983.14606741573027</v>
      </c>
      <c r="F61">
        <v>1</v>
      </c>
      <c r="G61">
        <v>405.79710144927526</v>
      </c>
      <c r="H61">
        <v>2</v>
      </c>
      <c r="I61">
        <v>171.0654936461388</v>
      </c>
      <c r="J61">
        <v>3</v>
      </c>
      <c r="K61">
        <v>71.098471382865256</v>
      </c>
      <c r="L61">
        <v>3</v>
      </c>
      <c r="M61">
        <v>24.571749508565006</v>
      </c>
      <c r="N61">
        <v>2</v>
      </c>
      <c r="O61">
        <v>4.0026487574265746</v>
      </c>
      <c r="P61">
        <f t="shared" si="9"/>
        <v>1042.9440489306967</v>
      </c>
      <c r="Q61" s="3">
        <f>P61+P62+P63+P64</f>
        <v>4250.8174340465657</v>
      </c>
      <c r="R61">
        <v>2859700</v>
      </c>
      <c r="S61">
        <f t="shared" si="11"/>
        <v>0.14864557240432794</v>
      </c>
    </row>
    <row r="62" spans="1:19" x14ac:dyDescent="0.2">
      <c r="A62">
        <v>60001</v>
      </c>
      <c r="B62">
        <v>1</v>
      </c>
      <c r="C62">
        <v>1688.7816646562119</v>
      </c>
      <c r="D62">
        <v>0</v>
      </c>
      <c r="E62">
        <v>983.14606741573027</v>
      </c>
      <c r="F62">
        <v>1</v>
      </c>
      <c r="G62">
        <v>405.79710144927526</v>
      </c>
      <c r="H62">
        <v>0</v>
      </c>
      <c r="I62">
        <v>171.0654936461388</v>
      </c>
      <c r="J62">
        <v>3</v>
      </c>
      <c r="K62">
        <v>71.098471382865256</v>
      </c>
      <c r="L62">
        <v>2</v>
      </c>
      <c r="M62">
        <v>24.571749508565006</v>
      </c>
      <c r="N62">
        <v>5</v>
      </c>
      <c r="O62">
        <v>4.0026487574265746</v>
      </c>
      <c r="P62">
        <f t="shared" si="9"/>
        <v>2377.0309230583462</v>
      </c>
      <c r="Q62" s="3">
        <f>P63+P62+P64</f>
        <v>3207.873385115869</v>
      </c>
      <c r="R62">
        <v>2859700</v>
      </c>
      <c r="S62">
        <f t="shared" si="11"/>
        <v>0.11217517170038357</v>
      </c>
    </row>
    <row r="63" spans="1:19" x14ac:dyDescent="0.2">
      <c r="A63">
        <v>70001</v>
      </c>
      <c r="B63">
        <v>0</v>
      </c>
      <c r="C63">
        <v>1688.7816646562119</v>
      </c>
      <c r="D63">
        <v>0</v>
      </c>
      <c r="E63">
        <v>983.14606741573027</v>
      </c>
      <c r="F63">
        <v>0</v>
      </c>
      <c r="G63">
        <v>405.79710144927526</v>
      </c>
      <c r="H63">
        <v>3</v>
      </c>
      <c r="I63">
        <v>171.0654936461388</v>
      </c>
      <c r="J63">
        <v>1</v>
      </c>
      <c r="K63">
        <v>71.098471382865256</v>
      </c>
      <c r="L63">
        <v>3</v>
      </c>
      <c r="M63">
        <v>24.571749508565006</v>
      </c>
      <c r="N63">
        <v>3</v>
      </c>
      <c r="O63">
        <v>4.0026487574265746</v>
      </c>
      <c r="P63">
        <f t="shared" si="9"/>
        <v>670.01814711925635</v>
      </c>
      <c r="Q63" s="3">
        <f>P64+P63</f>
        <v>830.84246205752288</v>
      </c>
      <c r="R63">
        <v>2859700</v>
      </c>
      <c r="S63">
        <f t="shared" si="11"/>
        <v>2.9053483304455816E-2</v>
      </c>
    </row>
    <row r="64" spans="1:19" x14ac:dyDescent="0.2">
      <c r="A64" t="s">
        <v>16</v>
      </c>
      <c r="B64">
        <v>0</v>
      </c>
      <c r="C64">
        <v>1688.7816646562119</v>
      </c>
      <c r="D64">
        <v>0</v>
      </c>
      <c r="E64">
        <v>983.14606741573027</v>
      </c>
      <c r="F64">
        <v>0</v>
      </c>
      <c r="G64">
        <v>405.79710144927526</v>
      </c>
      <c r="H64">
        <v>0</v>
      </c>
      <c r="I64">
        <v>171.0654936461388</v>
      </c>
      <c r="J64">
        <v>1</v>
      </c>
      <c r="K64">
        <v>71.098471382865256</v>
      </c>
      <c r="L64">
        <v>3</v>
      </c>
      <c r="M64">
        <v>24.571749508565006</v>
      </c>
      <c r="N64">
        <v>4</v>
      </c>
      <c r="O64">
        <v>4.0026487574265746</v>
      </c>
      <c r="P64">
        <f t="shared" si="9"/>
        <v>160.82431493826658</v>
      </c>
      <c r="Q64" s="3">
        <f>P64</f>
        <v>160.82431493826658</v>
      </c>
      <c r="R64">
        <v>2859700</v>
      </c>
      <c r="S64">
        <f t="shared" si="11"/>
        <v>5.6238177059924673E-3</v>
      </c>
    </row>
    <row r="65" spans="1:21" x14ac:dyDescent="0.2">
      <c r="A65" t="s">
        <v>3</v>
      </c>
      <c r="B65">
        <v>17</v>
      </c>
      <c r="C65">
        <v>1688.7816646562119</v>
      </c>
      <c r="D65">
        <v>85</v>
      </c>
      <c r="E65">
        <v>983.14606741573027</v>
      </c>
      <c r="F65">
        <v>290</v>
      </c>
      <c r="G65">
        <v>405.79710144927526</v>
      </c>
      <c r="H65">
        <v>827</v>
      </c>
      <c r="I65">
        <v>171.0654936461388</v>
      </c>
      <c r="J65">
        <v>1665</v>
      </c>
      <c r="K65">
        <v>71.098471382865256</v>
      </c>
      <c r="L65">
        <v>2284</v>
      </c>
      <c r="M65">
        <v>24.571749508565006</v>
      </c>
      <c r="N65">
        <v>2067</v>
      </c>
      <c r="O65">
        <v>4.0026487574265746</v>
      </c>
      <c r="P65">
        <f t="shared" si="9"/>
        <v>554203.33240677323</v>
      </c>
    </row>
    <row r="69" spans="1:21" ht="15" x14ac:dyDescent="0.25">
      <c r="A69" s="2" t="s">
        <v>24</v>
      </c>
    </row>
    <row r="70" spans="1:21" x14ac:dyDescent="0.2">
      <c r="G70" t="s">
        <v>25</v>
      </c>
    </row>
    <row r="72" spans="1:21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  <c r="T72" s="2"/>
      <c r="U72" s="2"/>
    </row>
    <row r="73" spans="1:21" ht="15" x14ac:dyDescent="0.25">
      <c r="A73" t="s">
        <v>97</v>
      </c>
      <c r="B73" s="6">
        <v>5.0000000000000001E-4</v>
      </c>
      <c r="C73">
        <f>S63/100</f>
        <v>2.9053483304455815E-4</v>
      </c>
      <c r="D73">
        <f>S62/100</f>
        <v>1.1217517170038357E-3</v>
      </c>
      <c r="E73">
        <v>70000</v>
      </c>
      <c r="F73">
        <v>60000</v>
      </c>
      <c r="G73">
        <f t="shared" ref="G73:G78" si="12">D73/C73</f>
        <v>3.8609887332573205</v>
      </c>
      <c r="H73">
        <f t="shared" ref="H73:H78" si="13">LN(G73)</f>
        <v>1.3509232991885696</v>
      </c>
      <c r="I73">
        <f t="shared" ref="I73:I78" si="14">E73/F73</f>
        <v>1.1666666666666667</v>
      </c>
      <c r="J73">
        <f t="shared" ref="J73:J78" si="15">LN(I73)</f>
        <v>0.15415067982725836</v>
      </c>
      <c r="K73">
        <f t="shared" ref="K73:K78" si="16">H73/J73</f>
        <v>8.763654501572212</v>
      </c>
      <c r="L73">
        <f t="shared" ref="L73:L78" si="17">F73*((D73)^(1/K73))</f>
        <v>27638.973366994738</v>
      </c>
      <c r="M73">
        <f t="shared" ref="M73:M78" si="18">POWER(B73,1/K73)</f>
        <v>0.42007538333353328</v>
      </c>
      <c r="N73">
        <f t="shared" ref="N73:N78" si="19">L73/M73</f>
        <v>65795.270238555793</v>
      </c>
      <c r="O73">
        <v>2859700</v>
      </c>
      <c r="P73">
        <f>O73*(K73/(1-K73))*POWER(L73,K73)*(-1)*POWER(N73,1-K73)</f>
        <v>106195032.50156733</v>
      </c>
      <c r="Q73">
        <f t="shared" ref="Q73:Q78" si="20">B73*O73</f>
        <v>1429.8500000000001</v>
      </c>
      <c r="R73">
        <f t="shared" ref="R73:R78" si="21">P73/Q73</f>
        <v>74270.051055402539</v>
      </c>
      <c r="S73">
        <f t="shared" ref="S73:S78" si="22">26.6120689655172*P73</f>
        <v>2826069528.7270503</v>
      </c>
    </row>
    <row r="74" spans="1:21" ht="15" x14ac:dyDescent="0.25">
      <c r="A74" t="s">
        <v>97</v>
      </c>
      <c r="B74" s="6">
        <v>1E-3</v>
      </c>
      <c r="C74">
        <v>2.9053483304455815E-4</v>
      </c>
      <c r="D74">
        <v>1.1217517170038357E-3</v>
      </c>
      <c r="E74">
        <v>70000</v>
      </c>
      <c r="F74">
        <v>60000</v>
      </c>
      <c r="G74">
        <f t="shared" si="12"/>
        <v>3.8609887332573205</v>
      </c>
      <c r="H74">
        <f t="shared" si="13"/>
        <v>1.3509232991885696</v>
      </c>
      <c r="I74">
        <f t="shared" si="14"/>
        <v>1.1666666666666667</v>
      </c>
      <c r="J74">
        <f t="shared" si="15"/>
        <v>0.15415067982725836</v>
      </c>
      <c r="K74">
        <f t="shared" si="16"/>
        <v>8.763654501572212</v>
      </c>
      <c r="L74">
        <f t="shared" si="17"/>
        <v>27638.973366994738</v>
      </c>
      <c r="M74">
        <f t="shared" si="18"/>
        <v>0.45464985513815886</v>
      </c>
      <c r="N74">
        <f t="shared" si="19"/>
        <v>60791.778672393542</v>
      </c>
      <c r="O74">
        <v>2859700</v>
      </c>
      <c r="P74">
        <f>O74*(K74/(1-K74))*POWER(L74,K74)*(POWER(N73,1-K74)-POWER(N74,1-K74))+P73</f>
        <v>196238571.20841891</v>
      </c>
      <c r="Q74">
        <f t="shared" si="20"/>
        <v>2859.7000000000003</v>
      </c>
      <c r="R74">
        <f t="shared" si="21"/>
        <v>68622.08315851973</v>
      </c>
      <c r="S74">
        <f t="shared" si="22"/>
        <v>5222314390.6930017</v>
      </c>
    </row>
    <row r="75" spans="1:21" ht="15" x14ac:dyDescent="0.25">
      <c r="A75" t="s">
        <v>92</v>
      </c>
      <c r="B75" s="6">
        <v>2.5000000000000001E-3</v>
      </c>
      <c r="C75">
        <f>S60/100</f>
        <v>1.945863758299001E-3</v>
      </c>
      <c r="D75">
        <f>S59/100</f>
        <v>3.0905184323307745E-3</v>
      </c>
      <c r="E75">
        <v>40000</v>
      </c>
      <c r="F75">
        <v>30000</v>
      </c>
      <c r="G75">
        <f t="shared" si="12"/>
        <v>1.5882501635327164</v>
      </c>
      <c r="H75">
        <f t="shared" si="13"/>
        <v>0.46263288412859055</v>
      </c>
      <c r="I75">
        <f t="shared" si="14"/>
        <v>1.3333333333333333</v>
      </c>
      <c r="J75">
        <f t="shared" si="15"/>
        <v>0.28768207245178085</v>
      </c>
      <c r="K75">
        <f t="shared" si="16"/>
        <v>1.60813943039893</v>
      </c>
      <c r="L75">
        <f t="shared" si="17"/>
        <v>824.76610909493536</v>
      </c>
      <c r="M75">
        <f t="shared" si="18"/>
        <v>2.4095935408718978E-2</v>
      </c>
      <c r="N75">
        <f t="shared" si="19"/>
        <v>34228.43293298746</v>
      </c>
      <c r="O75">
        <v>2859700</v>
      </c>
      <c r="P75">
        <f t="shared" ref="P75:P78" si="23">O75*(K75/(1-K75))*POWER(L75,K75)*(POWER(N74,1-K75)-POWER(N75,1-K75))+P74</f>
        <v>387020508.23368061</v>
      </c>
      <c r="Q75">
        <f t="shared" si="20"/>
        <v>7149.25</v>
      </c>
      <c r="R75">
        <f t="shared" si="21"/>
        <v>54134.420846058063</v>
      </c>
      <c r="S75">
        <f t="shared" si="22"/>
        <v>10299416456.184225</v>
      </c>
    </row>
    <row r="76" spans="1:21" ht="15" x14ac:dyDescent="0.25">
      <c r="A76" t="s">
        <v>95</v>
      </c>
      <c r="B76" s="6">
        <v>5.0000000000000001E-3</v>
      </c>
      <c r="C76">
        <f>S58/100</f>
        <v>4.1871011153620675E-3</v>
      </c>
      <c r="D76">
        <f>S57/100</f>
        <v>7.1192276239895966E-3</v>
      </c>
      <c r="E76">
        <v>25000</v>
      </c>
      <c r="F76">
        <v>20000</v>
      </c>
      <c r="G76">
        <f t="shared" si="12"/>
        <v>1.700276021008865</v>
      </c>
      <c r="H76">
        <f t="shared" si="13"/>
        <v>0.53079060318168414</v>
      </c>
      <c r="I76">
        <f t="shared" si="14"/>
        <v>1.25</v>
      </c>
      <c r="J76">
        <f t="shared" si="15"/>
        <v>0.22314355131420976</v>
      </c>
      <c r="K76">
        <f t="shared" si="16"/>
        <v>2.3786956873975478</v>
      </c>
      <c r="L76">
        <f t="shared" si="17"/>
        <v>2501.4745494491881</v>
      </c>
      <c r="M76">
        <f t="shared" si="18"/>
        <v>0.10780788774099796</v>
      </c>
      <c r="N76">
        <f t="shared" si="19"/>
        <v>23203.075413728835</v>
      </c>
      <c r="O76">
        <v>2859700</v>
      </c>
      <c r="P76">
        <f t="shared" si="23"/>
        <v>624521585.4601928</v>
      </c>
      <c r="Q76">
        <f t="shared" si="20"/>
        <v>14298.5</v>
      </c>
      <c r="R76">
        <f t="shared" si="21"/>
        <v>43677.419691589523</v>
      </c>
      <c r="S76">
        <f t="shared" si="22"/>
        <v>16619811502.720795</v>
      </c>
    </row>
    <row r="77" spans="1:21" ht="15" x14ac:dyDescent="0.25">
      <c r="A77" t="s">
        <v>98</v>
      </c>
      <c r="B77" s="6">
        <v>0.01</v>
      </c>
      <c r="C77">
        <f>S57/100</f>
        <v>7.1192276239895966E-3</v>
      </c>
      <c r="D77">
        <f>S56/100</f>
        <v>1.0126336382055203E-2</v>
      </c>
      <c r="E77">
        <v>20000</v>
      </c>
      <c r="F77">
        <v>15000</v>
      </c>
      <c r="G77">
        <f t="shared" si="12"/>
        <v>1.4223925567336237</v>
      </c>
      <c r="H77">
        <f t="shared" si="13"/>
        <v>0.3523403528712522</v>
      </c>
      <c r="I77">
        <f t="shared" si="14"/>
        <v>1.3333333333333333</v>
      </c>
      <c r="J77">
        <f t="shared" si="15"/>
        <v>0.28768207245178085</v>
      </c>
      <c r="K77">
        <f t="shared" si="16"/>
        <v>1.2247560296977105</v>
      </c>
      <c r="L77">
        <f t="shared" si="17"/>
        <v>352.82939443777587</v>
      </c>
      <c r="M77">
        <f t="shared" si="18"/>
        <v>2.3282076706404916E-2</v>
      </c>
      <c r="N77">
        <f t="shared" si="19"/>
        <v>15154.549952183272</v>
      </c>
      <c r="O77">
        <v>2859700</v>
      </c>
      <c r="P77">
        <f t="shared" si="23"/>
        <v>840138118.27124798</v>
      </c>
      <c r="Q77">
        <f t="shared" si="20"/>
        <v>28597</v>
      </c>
      <c r="R77">
        <f t="shared" si="21"/>
        <v>29378.540345884114</v>
      </c>
      <c r="S77">
        <f t="shared" si="22"/>
        <v>22357813543.994297</v>
      </c>
    </row>
    <row r="78" spans="1:21" ht="15" x14ac:dyDescent="0.25">
      <c r="A78" t="s">
        <v>101</v>
      </c>
      <c r="B78" s="6">
        <v>0.02</v>
      </c>
      <c r="C78">
        <f>S55/100</f>
        <v>1.7956756305482574E-2</v>
      </c>
      <c r="D78">
        <f>S54/100</f>
        <v>5.0208614636957971E-2</v>
      </c>
      <c r="E78">
        <v>10000</v>
      </c>
      <c r="F78">
        <v>5000</v>
      </c>
      <c r="G78">
        <f t="shared" si="12"/>
        <v>2.7960848709423223</v>
      </c>
      <c r="H78">
        <f t="shared" si="13"/>
        <v>1.0282201783251563</v>
      </c>
      <c r="I78">
        <f t="shared" si="14"/>
        <v>2</v>
      </c>
      <c r="J78">
        <f t="shared" si="15"/>
        <v>0.69314718055994529</v>
      </c>
      <c r="K78">
        <f t="shared" si="16"/>
        <v>1.4834081522116687</v>
      </c>
      <c r="L78">
        <f t="shared" si="17"/>
        <v>665.47897949618721</v>
      </c>
      <c r="M78">
        <f t="shared" si="18"/>
        <v>7.1562372906226968E-2</v>
      </c>
      <c r="N78">
        <f t="shared" si="19"/>
        <v>9299.2860978521421</v>
      </c>
      <c r="O78">
        <v>2859700</v>
      </c>
      <c r="P78">
        <f t="shared" si="23"/>
        <v>1183338580.9422915</v>
      </c>
      <c r="Q78">
        <f t="shared" si="20"/>
        <v>57194</v>
      </c>
      <c r="R78">
        <f t="shared" si="21"/>
        <v>20689.907699099407</v>
      </c>
      <c r="S78">
        <f>26.6120689655172*P78</f>
        <v>31491087925.593517</v>
      </c>
    </row>
    <row r="81" spans="1:19" ht="15" x14ac:dyDescent="0.25">
      <c r="A81" s="15" t="s">
        <v>60</v>
      </c>
      <c r="B81" s="16"/>
    </row>
    <row r="82" spans="1:19" ht="15" x14ac:dyDescent="0.25">
      <c r="A82" s="2" t="s">
        <v>61</v>
      </c>
    </row>
    <row r="83" spans="1:19" x14ac:dyDescent="0.2">
      <c r="S83">
        <f>26.6120689655172*18700000000</f>
        <v>497645689655.17163</v>
      </c>
    </row>
    <row r="84" spans="1:19" ht="15" x14ac:dyDescent="0.25">
      <c r="A84" s="2" t="s">
        <v>27</v>
      </c>
      <c r="B84" s="2" t="s">
        <v>62</v>
      </c>
      <c r="C84" s="2" t="s">
        <v>137</v>
      </c>
      <c r="D84" s="17"/>
      <c r="E84" s="17"/>
      <c r="F84" s="2" t="s">
        <v>63</v>
      </c>
    </row>
    <row r="85" spans="1:19" x14ac:dyDescent="0.2">
      <c r="A85" s="18">
        <v>5.0000000000000001E-4</v>
      </c>
      <c r="B85">
        <f t="shared" ref="B85:B90" si="24">S32+S73</f>
        <v>17346642435.989155</v>
      </c>
      <c r="C85">
        <v>497645689655.17163</v>
      </c>
      <c r="F85">
        <f>B85/C85*100</f>
        <v>3.4857415218463923</v>
      </c>
    </row>
    <row r="86" spans="1:19" x14ac:dyDescent="0.2">
      <c r="A86" s="18">
        <v>1E-3</v>
      </c>
      <c r="B86">
        <f t="shared" si="24"/>
        <v>24515700718.927597</v>
      </c>
      <c r="C86">
        <v>497645689655.17163</v>
      </c>
      <c r="F86">
        <f t="shared" ref="F86:F90" si="25">B86/C86*100</f>
        <v>4.92633639325099</v>
      </c>
    </row>
    <row r="87" spans="1:19" x14ac:dyDescent="0.2">
      <c r="A87" s="18">
        <v>2.5000000000000001E-3</v>
      </c>
      <c r="B87">
        <f t="shared" si="24"/>
        <v>29037206646.133514</v>
      </c>
      <c r="C87">
        <v>497645689655.17163</v>
      </c>
      <c r="F87">
        <f t="shared" si="25"/>
        <v>5.8349157341750431</v>
      </c>
    </row>
    <row r="88" spans="1:19" x14ac:dyDescent="0.2">
      <c r="A88" s="18">
        <v>5.0000000000000001E-3</v>
      </c>
      <c r="B88">
        <f t="shared" si="24"/>
        <v>44407837561.737381</v>
      </c>
      <c r="C88">
        <v>497645689655.17163</v>
      </c>
      <c r="F88">
        <f t="shared" si="25"/>
        <v>8.9235852906730564</v>
      </c>
    </row>
    <row r="89" spans="1:19" x14ac:dyDescent="0.2">
      <c r="A89" s="19">
        <v>0.01</v>
      </c>
      <c r="B89">
        <f t="shared" si="24"/>
        <v>63593952477.919708</v>
      </c>
      <c r="C89">
        <v>497645689655.17163</v>
      </c>
      <c r="F89">
        <f t="shared" si="25"/>
        <v>12.778961779410809</v>
      </c>
    </row>
    <row r="90" spans="1:19" x14ac:dyDescent="0.2">
      <c r="A90" s="19">
        <v>0.02</v>
      </c>
      <c r="B90">
        <f t="shared" si="24"/>
        <v>91224834197.736526</v>
      </c>
      <c r="C90">
        <v>497645689655.17163</v>
      </c>
      <c r="F90">
        <f t="shared" si="25"/>
        <v>18.331281892735369</v>
      </c>
    </row>
    <row r="94" spans="1:19" x14ac:dyDescent="0.2">
      <c r="B94" t="s">
        <v>138</v>
      </c>
      <c r="C94" t="s">
        <v>139</v>
      </c>
    </row>
    <row r="95" spans="1:19" x14ac:dyDescent="0.2">
      <c r="A95" s="18">
        <v>1E-3</v>
      </c>
      <c r="B95">
        <f>S74</f>
        <v>5222314390.6930017</v>
      </c>
      <c r="C95">
        <f>B95/B86</f>
        <v>0.21301917699872477</v>
      </c>
    </row>
    <row r="96" spans="1:19" x14ac:dyDescent="0.2">
      <c r="A96" s="19">
        <v>0.01</v>
      </c>
      <c r="B96">
        <f>S77</f>
        <v>22357813543.994297</v>
      </c>
      <c r="C96">
        <f>B96/B89</f>
        <v>0.35157137861115167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.85546875" customWidth="1"/>
    <col min="2" max="2" width="14.28515625" customWidth="1"/>
    <col min="3" max="3" width="13.7109375" customWidth="1"/>
    <col min="5" max="5" width="13.5703125" customWidth="1"/>
    <col min="7" max="7" width="14.42578125" customWidth="1"/>
    <col min="9" max="9" width="13.140625" customWidth="1"/>
    <col min="11" max="11" width="13.7109375" customWidth="1"/>
    <col min="13" max="13" width="13.42578125" customWidth="1"/>
    <col min="14" max="14" width="12.42578125" customWidth="1"/>
    <col min="15" max="15" width="12.140625" customWidth="1"/>
    <col min="16" max="16" width="17" customWidth="1"/>
    <col min="17" max="17" width="24.5703125" customWidth="1"/>
    <col min="18" max="18" width="14.42578125" customWidth="1"/>
    <col min="19" max="19" width="12.28515625" bestFit="1" customWidth="1"/>
    <col min="257" max="257" width="14.85546875" customWidth="1"/>
    <col min="258" max="258" width="14.28515625" customWidth="1"/>
    <col min="259" max="259" width="13.7109375" customWidth="1"/>
    <col min="261" max="261" width="13.5703125" customWidth="1"/>
    <col min="263" max="263" width="14.42578125" customWidth="1"/>
    <col min="265" max="265" width="13.140625" customWidth="1"/>
    <col min="267" max="267" width="13.7109375" customWidth="1"/>
    <col min="269" max="269" width="13.42578125" customWidth="1"/>
    <col min="270" max="270" width="12.42578125" customWidth="1"/>
    <col min="271" max="271" width="12.140625" customWidth="1"/>
    <col min="272" max="272" width="17" customWidth="1"/>
    <col min="273" max="273" width="24.5703125" customWidth="1"/>
    <col min="274" max="274" width="14.42578125" customWidth="1"/>
    <col min="275" max="275" width="12" bestFit="1" customWidth="1"/>
    <col min="513" max="513" width="14.85546875" customWidth="1"/>
    <col min="514" max="514" width="14.28515625" customWidth="1"/>
    <col min="515" max="515" width="13.7109375" customWidth="1"/>
    <col min="517" max="517" width="13.5703125" customWidth="1"/>
    <col min="519" max="519" width="14.42578125" customWidth="1"/>
    <col min="521" max="521" width="13.140625" customWidth="1"/>
    <col min="523" max="523" width="13.7109375" customWidth="1"/>
    <col min="525" max="525" width="13.42578125" customWidth="1"/>
    <col min="526" max="526" width="12.42578125" customWidth="1"/>
    <col min="527" max="527" width="12.140625" customWidth="1"/>
    <col min="528" max="528" width="17" customWidth="1"/>
    <col min="529" max="529" width="24.5703125" customWidth="1"/>
    <col min="530" max="530" width="14.42578125" customWidth="1"/>
    <col min="531" max="531" width="12" bestFit="1" customWidth="1"/>
    <col min="769" max="769" width="14.85546875" customWidth="1"/>
    <col min="770" max="770" width="14.28515625" customWidth="1"/>
    <col min="771" max="771" width="13.7109375" customWidth="1"/>
    <col min="773" max="773" width="13.5703125" customWidth="1"/>
    <col min="775" max="775" width="14.42578125" customWidth="1"/>
    <col min="777" max="777" width="13.140625" customWidth="1"/>
    <col min="779" max="779" width="13.7109375" customWidth="1"/>
    <col min="781" max="781" width="13.42578125" customWidth="1"/>
    <col min="782" max="782" width="12.42578125" customWidth="1"/>
    <col min="783" max="783" width="12.140625" customWidth="1"/>
    <col min="784" max="784" width="17" customWidth="1"/>
    <col min="785" max="785" width="24.5703125" customWidth="1"/>
    <col min="786" max="786" width="14.42578125" customWidth="1"/>
    <col min="787" max="787" width="12" bestFit="1" customWidth="1"/>
    <col min="1025" max="1025" width="14.85546875" customWidth="1"/>
    <col min="1026" max="1026" width="14.28515625" customWidth="1"/>
    <col min="1027" max="1027" width="13.7109375" customWidth="1"/>
    <col min="1029" max="1029" width="13.5703125" customWidth="1"/>
    <col min="1031" max="1031" width="14.42578125" customWidth="1"/>
    <col min="1033" max="1033" width="13.140625" customWidth="1"/>
    <col min="1035" max="1035" width="13.7109375" customWidth="1"/>
    <col min="1037" max="1037" width="13.42578125" customWidth="1"/>
    <col min="1038" max="1038" width="12.42578125" customWidth="1"/>
    <col min="1039" max="1039" width="12.140625" customWidth="1"/>
    <col min="1040" max="1040" width="17" customWidth="1"/>
    <col min="1041" max="1041" width="24.5703125" customWidth="1"/>
    <col min="1042" max="1042" width="14.42578125" customWidth="1"/>
    <col min="1043" max="1043" width="12" bestFit="1" customWidth="1"/>
    <col min="1281" max="1281" width="14.85546875" customWidth="1"/>
    <col min="1282" max="1282" width="14.28515625" customWidth="1"/>
    <col min="1283" max="1283" width="13.7109375" customWidth="1"/>
    <col min="1285" max="1285" width="13.5703125" customWidth="1"/>
    <col min="1287" max="1287" width="14.42578125" customWidth="1"/>
    <col min="1289" max="1289" width="13.140625" customWidth="1"/>
    <col min="1291" max="1291" width="13.7109375" customWidth="1"/>
    <col min="1293" max="1293" width="13.42578125" customWidth="1"/>
    <col min="1294" max="1294" width="12.42578125" customWidth="1"/>
    <col min="1295" max="1295" width="12.140625" customWidth="1"/>
    <col min="1296" max="1296" width="17" customWidth="1"/>
    <col min="1297" max="1297" width="24.5703125" customWidth="1"/>
    <col min="1298" max="1298" width="14.42578125" customWidth="1"/>
    <col min="1299" max="1299" width="12" bestFit="1" customWidth="1"/>
    <col min="1537" max="1537" width="14.85546875" customWidth="1"/>
    <col min="1538" max="1538" width="14.28515625" customWidth="1"/>
    <col min="1539" max="1539" width="13.7109375" customWidth="1"/>
    <col min="1541" max="1541" width="13.5703125" customWidth="1"/>
    <col min="1543" max="1543" width="14.42578125" customWidth="1"/>
    <col min="1545" max="1545" width="13.140625" customWidth="1"/>
    <col min="1547" max="1547" width="13.7109375" customWidth="1"/>
    <col min="1549" max="1549" width="13.42578125" customWidth="1"/>
    <col min="1550" max="1550" width="12.42578125" customWidth="1"/>
    <col min="1551" max="1551" width="12.140625" customWidth="1"/>
    <col min="1552" max="1552" width="17" customWidth="1"/>
    <col min="1553" max="1553" width="24.5703125" customWidth="1"/>
    <col min="1554" max="1554" width="14.42578125" customWidth="1"/>
    <col min="1555" max="1555" width="12" bestFit="1" customWidth="1"/>
    <col min="1793" max="1793" width="14.85546875" customWidth="1"/>
    <col min="1794" max="1794" width="14.28515625" customWidth="1"/>
    <col min="1795" max="1795" width="13.7109375" customWidth="1"/>
    <col min="1797" max="1797" width="13.5703125" customWidth="1"/>
    <col min="1799" max="1799" width="14.42578125" customWidth="1"/>
    <col min="1801" max="1801" width="13.140625" customWidth="1"/>
    <col min="1803" max="1803" width="13.7109375" customWidth="1"/>
    <col min="1805" max="1805" width="13.42578125" customWidth="1"/>
    <col min="1806" max="1806" width="12.42578125" customWidth="1"/>
    <col min="1807" max="1807" width="12.140625" customWidth="1"/>
    <col min="1808" max="1808" width="17" customWidth="1"/>
    <col min="1809" max="1809" width="24.5703125" customWidth="1"/>
    <col min="1810" max="1810" width="14.42578125" customWidth="1"/>
    <col min="1811" max="1811" width="12" bestFit="1" customWidth="1"/>
    <col min="2049" max="2049" width="14.85546875" customWidth="1"/>
    <col min="2050" max="2050" width="14.28515625" customWidth="1"/>
    <col min="2051" max="2051" width="13.7109375" customWidth="1"/>
    <col min="2053" max="2053" width="13.5703125" customWidth="1"/>
    <col min="2055" max="2055" width="14.42578125" customWidth="1"/>
    <col min="2057" max="2057" width="13.140625" customWidth="1"/>
    <col min="2059" max="2059" width="13.7109375" customWidth="1"/>
    <col min="2061" max="2061" width="13.42578125" customWidth="1"/>
    <col min="2062" max="2062" width="12.42578125" customWidth="1"/>
    <col min="2063" max="2063" width="12.140625" customWidth="1"/>
    <col min="2064" max="2064" width="17" customWidth="1"/>
    <col min="2065" max="2065" width="24.5703125" customWidth="1"/>
    <col min="2066" max="2066" width="14.42578125" customWidth="1"/>
    <col min="2067" max="2067" width="12" bestFit="1" customWidth="1"/>
    <col min="2305" max="2305" width="14.85546875" customWidth="1"/>
    <col min="2306" max="2306" width="14.28515625" customWidth="1"/>
    <col min="2307" max="2307" width="13.7109375" customWidth="1"/>
    <col min="2309" max="2309" width="13.5703125" customWidth="1"/>
    <col min="2311" max="2311" width="14.42578125" customWidth="1"/>
    <col min="2313" max="2313" width="13.140625" customWidth="1"/>
    <col min="2315" max="2315" width="13.7109375" customWidth="1"/>
    <col min="2317" max="2317" width="13.42578125" customWidth="1"/>
    <col min="2318" max="2318" width="12.42578125" customWidth="1"/>
    <col min="2319" max="2319" width="12.140625" customWidth="1"/>
    <col min="2320" max="2320" width="17" customWidth="1"/>
    <col min="2321" max="2321" width="24.5703125" customWidth="1"/>
    <col min="2322" max="2322" width="14.42578125" customWidth="1"/>
    <col min="2323" max="2323" width="12" bestFit="1" customWidth="1"/>
    <col min="2561" max="2561" width="14.85546875" customWidth="1"/>
    <col min="2562" max="2562" width="14.28515625" customWidth="1"/>
    <col min="2563" max="2563" width="13.7109375" customWidth="1"/>
    <col min="2565" max="2565" width="13.5703125" customWidth="1"/>
    <col min="2567" max="2567" width="14.42578125" customWidth="1"/>
    <col min="2569" max="2569" width="13.140625" customWidth="1"/>
    <col min="2571" max="2571" width="13.7109375" customWidth="1"/>
    <col min="2573" max="2573" width="13.42578125" customWidth="1"/>
    <col min="2574" max="2574" width="12.42578125" customWidth="1"/>
    <col min="2575" max="2575" width="12.140625" customWidth="1"/>
    <col min="2576" max="2576" width="17" customWidth="1"/>
    <col min="2577" max="2577" width="24.5703125" customWidth="1"/>
    <col min="2578" max="2578" width="14.42578125" customWidth="1"/>
    <col min="2579" max="2579" width="12" bestFit="1" customWidth="1"/>
    <col min="2817" max="2817" width="14.85546875" customWidth="1"/>
    <col min="2818" max="2818" width="14.28515625" customWidth="1"/>
    <col min="2819" max="2819" width="13.7109375" customWidth="1"/>
    <col min="2821" max="2821" width="13.5703125" customWidth="1"/>
    <col min="2823" max="2823" width="14.42578125" customWidth="1"/>
    <col min="2825" max="2825" width="13.140625" customWidth="1"/>
    <col min="2827" max="2827" width="13.7109375" customWidth="1"/>
    <col min="2829" max="2829" width="13.42578125" customWidth="1"/>
    <col min="2830" max="2830" width="12.42578125" customWidth="1"/>
    <col min="2831" max="2831" width="12.140625" customWidth="1"/>
    <col min="2832" max="2832" width="17" customWidth="1"/>
    <col min="2833" max="2833" width="24.5703125" customWidth="1"/>
    <col min="2834" max="2834" width="14.42578125" customWidth="1"/>
    <col min="2835" max="2835" width="12" bestFit="1" customWidth="1"/>
    <col min="3073" max="3073" width="14.85546875" customWidth="1"/>
    <col min="3074" max="3074" width="14.28515625" customWidth="1"/>
    <col min="3075" max="3075" width="13.7109375" customWidth="1"/>
    <col min="3077" max="3077" width="13.5703125" customWidth="1"/>
    <col min="3079" max="3079" width="14.42578125" customWidth="1"/>
    <col min="3081" max="3081" width="13.140625" customWidth="1"/>
    <col min="3083" max="3083" width="13.7109375" customWidth="1"/>
    <col min="3085" max="3085" width="13.42578125" customWidth="1"/>
    <col min="3086" max="3086" width="12.42578125" customWidth="1"/>
    <col min="3087" max="3087" width="12.140625" customWidth="1"/>
    <col min="3088" max="3088" width="17" customWidth="1"/>
    <col min="3089" max="3089" width="24.5703125" customWidth="1"/>
    <col min="3090" max="3090" width="14.42578125" customWidth="1"/>
    <col min="3091" max="3091" width="12" bestFit="1" customWidth="1"/>
    <col min="3329" max="3329" width="14.85546875" customWidth="1"/>
    <col min="3330" max="3330" width="14.28515625" customWidth="1"/>
    <col min="3331" max="3331" width="13.7109375" customWidth="1"/>
    <col min="3333" max="3333" width="13.5703125" customWidth="1"/>
    <col min="3335" max="3335" width="14.42578125" customWidth="1"/>
    <col min="3337" max="3337" width="13.140625" customWidth="1"/>
    <col min="3339" max="3339" width="13.7109375" customWidth="1"/>
    <col min="3341" max="3341" width="13.42578125" customWidth="1"/>
    <col min="3342" max="3342" width="12.42578125" customWidth="1"/>
    <col min="3343" max="3343" width="12.140625" customWidth="1"/>
    <col min="3344" max="3344" width="17" customWidth="1"/>
    <col min="3345" max="3345" width="24.5703125" customWidth="1"/>
    <col min="3346" max="3346" width="14.42578125" customWidth="1"/>
    <col min="3347" max="3347" width="12" bestFit="1" customWidth="1"/>
    <col min="3585" max="3585" width="14.85546875" customWidth="1"/>
    <col min="3586" max="3586" width="14.28515625" customWidth="1"/>
    <col min="3587" max="3587" width="13.7109375" customWidth="1"/>
    <col min="3589" max="3589" width="13.5703125" customWidth="1"/>
    <col min="3591" max="3591" width="14.42578125" customWidth="1"/>
    <col min="3593" max="3593" width="13.140625" customWidth="1"/>
    <col min="3595" max="3595" width="13.7109375" customWidth="1"/>
    <col min="3597" max="3597" width="13.42578125" customWidth="1"/>
    <col min="3598" max="3598" width="12.42578125" customWidth="1"/>
    <col min="3599" max="3599" width="12.140625" customWidth="1"/>
    <col min="3600" max="3600" width="17" customWidth="1"/>
    <col min="3601" max="3601" width="24.5703125" customWidth="1"/>
    <col min="3602" max="3602" width="14.42578125" customWidth="1"/>
    <col min="3603" max="3603" width="12" bestFit="1" customWidth="1"/>
    <col min="3841" max="3841" width="14.85546875" customWidth="1"/>
    <col min="3842" max="3842" width="14.28515625" customWidth="1"/>
    <col min="3843" max="3843" width="13.7109375" customWidth="1"/>
    <col min="3845" max="3845" width="13.5703125" customWidth="1"/>
    <col min="3847" max="3847" width="14.42578125" customWidth="1"/>
    <col min="3849" max="3849" width="13.140625" customWidth="1"/>
    <col min="3851" max="3851" width="13.7109375" customWidth="1"/>
    <col min="3853" max="3853" width="13.42578125" customWidth="1"/>
    <col min="3854" max="3854" width="12.42578125" customWidth="1"/>
    <col min="3855" max="3855" width="12.140625" customWidth="1"/>
    <col min="3856" max="3856" width="17" customWidth="1"/>
    <col min="3857" max="3857" width="24.5703125" customWidth="1"/>
    <col min="3858" max="3858" width="14.42578125" customWidth="1"/>
    <col min="3859" max="3859" width="12" bestFit="1" customWidth="1"/>
    <col min="4097" max="4097" width="14.85546875" customWidth="1"/>
    <col min="4098" max="4098" width="14.28515625" customWidth="1"/>
    <col min="4099" max="4099" width="13.7109375" customWidth="1"/>
    <col min="4101" max="4101" width="13.5703125" customWidth="1"/>
    <col min="4103" max="4103" width="14.42578125" customWidth="1"/>
    <col min="4105" max="4105" width="13.140625" customWidth="1"/>
    <col min="4107" max="4107" width="13.7109375" customWidth="1"/>
    <col min="4109" max="4109" width="13.42578125" customWidth="1"/>
    <col min="4110" max="4110" width="12.42578125" customWidth="1"/>
    <col min="4111" max="4111" width="12.140625" customWidth="1"/>
    <col min="4112" max="4112" width="17" customWidth="1"/>
    <col min="4113" max="4113" width="24.5703125" customWidth="1"/>
    <col min="4114" max="4114" width="14.42578125" customWidth="1"/>
    <col min="4115" max="4115" width="12" bestFit="1" customWidth="1"/>
    <col min="4353" max="4353" width="14.85546875" customWidth="1"/>
    <col min="4354" max="4354" width="14.28515625" customWidth="1"/>
    <col min="4355" max="4355" width="13.7109375" customWidth="1"/>
    <col min="4357" max="4357" width="13.5703125" customWidth="1"/>
    <col min="4359" max="4359" width="14.42578125" customWidth="1"/>
    <col min="4361" max="4361" width="13.140625" customWidth="1"/>
    <col min="4363" max="4363" width="13.7109375" customWidth="1"/>
    <col min="4365" max="4365" width="13.42578125" customWidth="1"/>
    <col min="4366" max="4366" width="12.42578125" customWidth="1"/>
    <col min="4367" max="4367" width="12.140625" customWidth="1"/>
    <col min="4368" max="4368" width="17" customWidth="1"/>
    <col min="4369" max="4369" width="24.5703125" customWidth="1"/>
    <col min="4370" max="4370" width="14.42578125" customWidth="1"/>
    <col min="4371" max="4371" width="12" bestFit="1" customWidth="1"/>
    <col min="4609" max="4609" width="14.85546875" customWidth="1"/>
    <col min="4610" max="4610" width="14.28515625" customWidth="1"/>
    <col min="4611" max="4611" width="13.7109375" customWidth="1"/>
    <col min="4613" max="4613" width="13.5703125" customWidth="1"/>
    <col min="4615" max="4615" width="14.42578125" customWidth="1"/>
    <col min="4617" max="4617" width="13.140625" customWidth="1"/>
    <col min="4619" max="4619" width="13.7109375" customWidth="1"/>
    <col min="4621" max="4621" width="13.42578125" customWidth="1"/>
    <col min="4622" max="4622" width="12.42578125" customWidth="1"/>
    <col min="4623" max="4623" width="12.140625" customWidth="1"/>
    <col min="4624" max="4624" width="17" customWidth="1"/>
    <col min="4625" max="4625" width="24.5703125" customWidth="1"/>
    <col min="4626" max="4626" width="14.42578125" customWidth="1"/>
    <col min="4627" max="4627" width="12" bestFit="1" customWidth="1"/>
    <col min="4865" max="4865" width="14.85546875" customWidth="1"/>
    <col min="4866" max="4866" width="14.28515625" customWidth="1"/>
    <col min="4867" max="4867" width="13.7109375" customWidth="1"/>
    <col min="4869" max="4869" width="13.5703125" customWidth="1"/>
    <col min="4871" max="4871" width="14.42578125" customWidth="1"/>
    <col min="4873" max="4873" width="13.140625" customWidth="1"/>
    <col min="4875" max="4875" width="13.7109375" customWidth="1"/>
    <col min="4877" max="4877" width="13.42578125" customWidth="1"/>
    <col min="4878" max="4878" width="12.42578125" customWidth="1"/>
    <col min="4879" max="4879" width="12.140625" customWidth="1"/>
    <col min="4880" max="4880" width="17" customWidth="1"/>
    <col min="4881" max="4881" width="24.5703125" customWidth="1"/>
    <col min="4882" max="4882" width="14.42578125" customWidth="1"/>
    <col min="4883" max="4883" width="12" bestFit="1" customWidth="1"/>
    <col min="5121" max="5121" width="14.85546875" customWidth="1"/>
    <col min="5122" max="5122" width="14.28515625" customWidth="1"/>
    <col min="5123" max="5123" width="13.7109375" customWidth="1"/>
    <col min="5125" max="5125" width="13.5703125" customWidth="1"/>
    <col min="5127" max="5127" width="14.42578125" customWidth="1"/>
    <col min="5129" max="5129" width="13.140625" customWidth="1"/>
    <col min="5131" max="5131" width="13.7109375" customWidth="1"/>
    <col min="5133" max="5133" width="13.42578125" customWidth="1"/>
    <col min="5134" max="5134" width="12.42578125" customWidth="1"/>
    <col min="5135" max="5135" width="12.140625" customWidth="1"/>
    <col min="5136" max="5136" width="17" customWidth="1"/>
    <col min="5137" max="5137" width="24.5703125" customWidth="1"/>
    <col min="5138" max="5138" width="14.42578125" customWidth="1"/>
    <col min="5139" max="5139" width="12" bestFit="1" customWidth="1"/>
    <col min="5377" max="5377" width="14.85546875" customWidth="1"/>
    <col min="5378" max="5378" width="14.28515625" customWidth="1"/>
    <col min="5379" max="5379" width="13.7109375" customWidth="1"/>
    <col min="5381" max="5381" width="13.5703125" customWidth="1"/>
    <col min="5383" max="5383" width="14.42578125" customWidth="1"/>
    <col min="5385" max="5385" width="13.140625" customWidth="1"/>
    <col min="5387" max="5387" width="13.7109375" customWidth="1"/>
    <col min="5389" max="5389" width="13.42578125" customWidth="1"/>
    <col min="5390" max="5390" width="12.42578125" customWidth="1"/>
    <col min="5391" max="5391" width="12.140625" customWidth="1"/>
    <col min="5392" max="5392" width="17" customWidth="1"/>
    <col min="5393" max="5393" width="24.5703125" customWidth="1"/>
    <col min="5394" max="5394" width="14.42578125" customWidth="1"/>
    <col min="5395" max="5395" width="12" bestFit="1" customWidth="1"/>
    <col min="5633" max="5633" width="14.85546875" customWidth="1"/>
    <col min="5634" max="5634" width="14.28515625" customWidth="1"/>
    <col min="5635" max="5635" width="13.7109375" customWidth="1"/>
    <col min="5637" max="5637" width="13.5703125" customWidth="1"/>
    <col min="5639" max="5639" width="14.42578125" customWidth="1"/>
    <col min="5641" max="5641" width="13.140625" customWidth="1"/>
    <col min="5643" max="5643" width="13.7109375" customWidth="1"/>
    <col min="5645" max="5645" width="13.42578125" customWidth="1"/>
    <col min="5646" max="5646" width="12.42578125" customWidth="1"/>
    <col min="5647" max="5647" width="12.140625" customWidth="1"/>
    <col min="5648" max="5648" width="17" customWidth="1"/>
    <col min="5649" max="5649" width="24.5703125" customWidth="1"/>
    <col min="5650" max="5650" width="14.42578125" customWidth="1"/>
    <col min="5651" max="5651" width="12" bestFit="1" customWidth="1"/>
    <col min="5889" max="5889" width="14.85546875" customWidth="1"/>
    <col min="5890" max="5890" width="14.28515625" customWidth="1"/>
    <col min="5891" max="5891" width="13.7109375" customWidth="1"/>
    <col min="5893" max="5893" width="13.5703125" customWidth="1"/>
    <col min="5895" max="5895" width="14.42578125" customWidth="1"/>
    <col min="5897" max="5897" width="13.140625" customWidth="1"/>
    <col min="5899" max="5899" width="13.7109375" customWidth="1"/>
    <col min="5901" max="5901" width="13.42578125" customWidth="1"/>
    <col min="5902" max="5902" width="12.42578125" customWidth="1"/>
    <col min="5903" max="5903" width="12.140625" customWidth="1"/>
    <col min="5904" max="5904" width="17" customWidth="1"/>
    <col min="5905" max="5905" width="24.5703125" customWidth="1"/>
    <col min="5906" max="5906" width="14.42578125" customWidth="1"/>
    <col min="5907" max="5907" width="12" bestFit="1" customWidth="1"/>
    <col min="6145" max="6145" width="14.85546875" customWidth="1"/>
    <col min="6146" max="6146" width="14.28515625" customWidth="1"/>
    <col min="6147" max="6147" width="13.7109375" customWidth="1"/>
    <col min="6149" max="6149" width="13.5703125" customWidth="1"/>
    <col min="6151" max="6151" width="14.42578125" customWidth="1"/>
    <col min="6153" max="6153" width="13.140625" customWidth="1"/>
    <col min="6155" max="6155" width="13.7109375" customWidth="1"/>
    <col min="6157" max="6157" width="13.42578125" customWidth="1"/>
    <col min="6158" max="6158" width="12.42578125" customWidth="1"/>
    <col min="6159" max="6159" width="12.140625" customWidth="1"/>
    <col min="6160" max="6160" width="17" customWidth="1"/>
    <col min="6161" max="6161" width="24.5703125" customWidth="1"/>
    <col min="6162" max="6162" width="14.42578125" customWidth="1"/>
    <col min="6163" max="6163" width="12" bestFit="1" customWidth="1"/>
    <col min="6401" max="6401" width="14.85546875" customWidth="1"/>
    <col min="6402" max="6402" width="14.28515625" customWidth="1"/>
    <col min="6403" max="6403" width="13.7109375" customWidth="1"/>
    <col min="6405" max="6405" width="13.5703125" customWidth="1"/>
    <col min="6407" max="6407" width="14.42578125" customWidth="1"/>
    <col min="6409" max="6409" width="13.140625" customWidth="1"/>
    <col min="6411" max="6411" width="13.7109375" customWidth="1"/>
    <col min="6413" max="6413" width="13.42578125" customWidth="1"/>
    <col min="6414" max="6414" width="12.42578125" customWidth="1"/>
    <col min="6415" max="6415" width="12.140625" customWidth="1"/>
    <col min="6416" max="6416" width="17" customWidth="1"/>
    <col min="6417" max="6417" width="24.5703125" customWidth="1"/>
    <col min="6418" max="6418" width="14.42578125" customWidth="1"/>
    <col min="6419" max="6419" width="12" bestFit="1" customWidth="1"/>
    <col min="6657" max="6657" width="14.85546875" customWidth="1"/>
    <col min="6658" max="6658" width="14.28515625" customWidth="1"/>
    <col min="6659" max="6659" width="13.7109375" customWidth="1"/>
    <col min="6661" max="6661" width="13.5703125" customWidth="1"/>
    <col min="6663" max="6663" width="14.42578125" customWidth="1"/>
    <col min="6665" max="6665" width="13.140625" customWidth="1"/>
    <col min="6667" max="6667" width="13.7109375" customWidth="1"/>
    <col min="6669" max="6669" width="13.42578125" customWidth="1"/>
    <col min="6670" max="6670" width="12.42578125" customWidth="1"/>
    <col min="6671" max="6671" width="12.140625" customWidth="1"/>
    <col min="6672" max="6672" width="17" customWidth="1"/>
    <col min="6673" max="6673" width="24.5703125" customWidth="1"/>
    <col min="6674" max="6674" width="14.42578125" customWidth="1"/>
    <col min="6675" max="6675" width="12" bestFit="1" customWidth="1"/>
    <col min="6913" max="6913" width="14.85546875" customWidth="1"/>
    <col min="6914" max="6914" width="14.28515625" customWidth="1"/>
    <col min="6915" max="6915" width="13.7109375" customWidth="1"/>
    <col min="6917" max="6917" width="13.5703125" customWidth="1"/>
    <col min="6919" max="6919" width="14.42578125" customWidth="1"/>
    <col min="6921" max="6921" width="13.140625" customWidth="1"/>
    <col min="6923" max="6923" width="13.7109375" customWidth="1"/>
    <col min="6925" max="6925" width="13.42578125" customWidth="1"/>
    <col min="6926" max="6926" width="12.42578125" customWidth="1"/>
    <col min="6927" max="6927" width="12.140625" customWidth="1"/>
    <col min="6928" max="6928" width="17" customWidth="1"/>
    <col min="6929" max="6929" width="24.5703125" customWidth="1"/>
    <col min="6930" max="6930" width="14.42578125" customWidth="1"/>
    <col min="6931" max="6931" width="12" bestFit="1" customWidth="1"/>
    <col min="7169" max="7169" width="14.85546875" customWidth="1"/>
    <col min="7170" max="7170" width="14.28515625" customWidth="1"/>
    <col min="7171" max="7171" width="13.7109375" customWidth="1"/>
    <col min="7173" max="7173" width="13.5703125" customWidth="1"/>
    <col min="7175" max="7175" width="14.42578125" customWidth="1"/>
    <col min="7177" max="7177" width="13.140625" customWidth="1"/>
    <col min="7179" max="7179" width="13.7109375" customWidth="1"/>
    <col min="7181" max="7181" width="13.42578125" customWidth="1"/>
    <col min="7182" max="7182" width="12.42578125" customWidth="1"/>
    <col min="7183" max="7183" width="12.140625" customWidth="1"/>
    <col min="7184" max="7184" width="17" customWidth="1"/>
    <col min="7185" max="7185" width="24.5703125" customWidth="1"/>
    <col min="7186" max="7186" width="14.42578125" customWidth="1"/>
    <col min="7187" max="7187" width="12" bestFit="1" customWidth="1"/>
    <col min="7425" max="7425" width="14.85546875" customWidth="1"/>
    <col min="7426" max="7426" width="14.28515625" customWidth="1"/>
    <col min="7427" max="7427" width="13.7109375" customWidth="1"/>
    <col min="7429" max="7429" width="13.5703125" customWidth="1"/>
    <col min="7431" max="7431" width="14.42578125" customWidth="1"/>
    <col min="7433" max="7433" width="13.140625" customWidth="1"/>
    <col min="7435" max="7435" width="13.7109375" customWidth="1"/>
    <col min="7437" max="7437" width="13.42578125" customWidth="1"/>
    <col min="7438" max="7438" width="12.42578125" customWidth="1"/>
    <col min="7439" max="7439" width="12.140625" customWidth="1"/>
    <col min="7440" max="7440" width="17" customWidth="1"/>
    <col min="7441" max="7441" width="24.5703125" customWidth="1"/>
    <col min="7442" max="7442" width="14.42578125" customWidth="1"/>
    <col min="7443" max="7443" width="12" bestFit="1" customWidth="1"/>
    <col min="7681" max="7681" width="14.85546875" customWidth="1"/>
    <col min="7682" max="7682" width="14.28515625" customWidth="1"/>
    <col min="7683" max="7683" width="13.7109375" customWidth="1"/>
    <col min="7685" max="7685" width="13.5703125" customWidth="1"/>
    <col min="7687" max="7687" width="14.42578125" customWidth="1"/>
    <col min="7689" max="7689" width="13.140625" customWidth="1"/>
    <col min="7691" max="7691" width="13.7109375" customWidth="1"/>
    <col min="7693" max="7693" width="13.42578125" customWidth="1"/>
    <col min="7694" max="7694" width="12.42578125" customWidth="1"/>
    <col min="7695" max="7695" width="12.140625" customWidth="1"/>
    <col min="7696" max="7696" width="17" customWidth="1"/>
    <col min="7697" max="7697" width="24.5703125" customWidth="1"/>
    <col min="7698" max="7698" width="14.42578125" customWidth="1"/>
    <col min="7699" max="7699" width="12" bestFit="1" customWidth="1"/>
    <col min="7937" max="7937" width="14.85546875" customWidth="1"/>
    <col min="7938" max="7938" width="14.28515625" customWidth="1"/>
    <col min="7939" max="7939" width="13.7109375" customWidth="1"/>
    <col min="7941" max="7941" width="13.5703125" customWidth="1"/>
    <col min="7943" max="7943" width="14.42578125" customWidth="1"/>
    <col min="7945" max="7945" width="13.140625" customWidth="1"/>
    <col min="7947" max="7947" width="13.7109375" customWidth="1"/>
    <col min="7949" max="7949" width="13.42578125" customWidth="1"/>
    <col min="7950" max="7950" width="12.42578125" customWidth="1"/>
    <col min="7951" max="7951" width="12.140625" customWidth="1"/>
    <col min="7952" max="7952" width="17" customWidth="1"/>
    <col min="7953" max="7953" width="24.5703125" customWidth="1"/>
    <col min="7954" max="7954" width="14.42578125" customWidth="1"/>
    <col min="7955" max="7955" width="12" bestFit="1" customWidth="1"/>
    <col min="8193" max="8193" width="14.85546875" customWidth="1"/>
    <col min="8194" max="8194" width="14.28515625" customWidth="1"/>
    <col min="8195" max="8195" width="13.7109375" customWidth="1"/>
    <col min="8197" max="8197" width="13.5703125" customWidth="1"/>
    <col min="8199" max="8199" width="14.42578125" customWidth="1"/>
    <col min="8201" max="8201" width="13.140625" customWidth="1"/>
    <col min="8203" max="8203" width="13.7109375" customWidth="1"/>
    <col min="8205" max="8205" width="13.42578125" customWidth="1"/>
    <col min="8206" max="8206" width="12.42578125" customWidth="1"/>
    <col min="8207" max="8207" width="12.140625" customWidth="1"/>
    <col min="8208" max="8208" width="17" customWidth="1"/>
    <col min="8209" max="8209" width="24.5703125" customWidth="1"/>
    <col min="8210" max="8210" width="14.42578125" customWidth="1"/>
    <col min="8211" max="8211" width="12" bestFit="1" customWidth="1"/>
    <col min="8449" max="8449" width="14.85546875" customWidth="1"/>
    <col min="8450" max="8450" width="14.28515625" customWidth="1"/>
    <col min="8451" max="8451" width="13.7109375" customWidth="1"/>
    <col min="8453" max="8453" width="13.5703125" customWidth="1"/>
    <col min="8455" max="8455" width="14.42578125" customWidth="1"/>
    <col min="8457" max="8457" width="13.140625" customWidth="1"/>
    <col min="8459" max="8459" width="13.7109375" customWidth="1"/>
    <col min="8461" max="8461" width="13.42578125" customWidth="1"/>
    <col min="8462" max="8462" width="12.42578125" customWidth="1"/>
    <col min="8463" max="8463" width="12.140625" customWidth="1"/>
    <col min="8464" max="8464" width="17" customWidth="1"/>
    <col min="8465" max="8465" width="24.5703125" customWidth="1"/>
    <col min="8466" max="8466" width="14.42578125" customWidth="1"/>
    <col min="8467" max="8467" width="12" bestFit="1" customWidth="1"/>
    <col min="8705" max="8705" width="14.85546875" customWidth="1"/>
    <col min="8706" max="8706" width="14.28515625" customWidth="1"/>
    <col min="8707" max="8707" width="13.7109375" customWidth="1"/>
    <col min="8709" max="8709" width="13.5703125" customWidth="1"/>
    <col min="8711" max="8711" width="14.42578125" customWidth="1"/>
    <col min="8713" max="8713" width="13.140625" customWidth="1"/>
    <col min="8715" max="8715" width="13.7109375" customWidth="1"/>
    <col min="8717" max="8717" width="13.42578125" customWidth="1"/>
    <col min="8718" max="8718" width="12.42578125" customWidth="1"/>
    <col min="8719" max="8719" width="12.140625" customWidth="1"/>
    <col min="8720" max="8720" width="17" customWidth="1"/>
    <col min="8721" max="8721" width="24.5703125" customWidth="1"/>
    <col min="8722" max="8722" width="14.42578125" customWidth="1"/>
    <col min="8723" max="8723" width="12" bestFit="1" customWidth="1"/>
    <col min="8961" max="8961" width="14.85546875" customWidth="1"/>
    <col min="8962" max="8962" width="14.28515625" customWidth="1"/>
    <col min="8963" max="8963" width="13.7109375" customWidth="1"/>
    <col min="8965" max="8965" width="13.5703125" customWidth="1"/>
    <col min="8967" max="8967" width="14.42578125" customWidth="1"/>
    <col min="8969" max="8969" width="13.140625" customWidth="1"/>
    <col min="8971" max="8971" width="13.7109375" customWidth="1"/>
    <col min="8973" max="8973" width="13.42578125" customWidth="1"/>
    <col min="8974" max="8974" width="12.42578125" customWidth="1"/>
    <col min="8975" max="8975" width="12.140625" customWidth="1"/>
    <col min="8976" max="8976" width="17" customWidth="1"/>
    <col min="8977" max="8977" width="24.5703125" customWidth="1"/>
    <col min="8978" max="8978" width="14.42578125" customWidth="1"/>
    <col min="8979" max="8979" width="12" bestFit="1" customWidth="1"/>
    <col min="9217" max="9217" width="14.85546875" customWidth="1"/>
    <col min="9218" max="9218" width="14.28515625" customWidth="1"/>
    <col min="9219" max="9219" width="13.7109375" customWidth="1"/>
    <col min="9221" max="9221" width="13.5703125" customWidth="1"/>
    <col min="9223" max="9223" width="14.42578125" customWidth="1"/>
    <col min="9225" max="9225" width="13.140625" customWidth="1"/>
    <col min="9227" max="9227" width="13.7109375" customWidth="1"/>
    <col min="9229" max="9229" width="13.42578125" customWidth="1"/>
    <col min="9230" max="9230" width="12.42578125" customWidth="1"/>
    <col min="9231" max="9231" width="12.140625" customWidth="1"/>
    <col min="9232" max="9232" width="17" customWidth="1"/>
    <col min="9233" max="9233" width="24.5703125" customWidth="1"/>
    <col min="9234" max="9234" width="14.42578125" customWidth="1"/>
    <col min="9235" max="9235" width="12" bestFit="1" customWidth="1"/>
    <col min="9473" max="9473" width="14.85546875" customWidth="1"/>
    <col min="9474" max="9474" width="14.28515625" customWidth="1"/>
    <col min="9475" max="9475" width="13.7109375" customWidth="1"/>
    <col min="9477" max="9477" width="13.5703125" customWidth="1"/>
    <col min="9479" max="9479" width="14.42578125" customWidth="1"/>
    <col min="9481" max="9481" width="13.140625" customWidth="1"/>
    <col min="9483" max="9483" width="13.7109375" customWidth="1"/>
    <col min="9485" max="9485" width="13.42578125" customWidth="1"/>
    <col min="9486" max="9486" width="12.42578125" customWidth="1"/>
    <col min="9487" max="9487" width="12.140625" customWidth="1"/>
    <col min="9488" max="9488" width="17" customWidth="1"/>
    <col min="9489" max="9489" width="24.5703125" customWidth="1"/>
    <col min="9490" max="9490" width="14.42578125" customWidth="1"/>
    <col min="9491" max="9491" width="12" bestFit="1" customWidth="1"/>
    <col min="9729" max="9729" width="14.85546875" customWidth="1"/>
    <col min="9730" max="9730" width="14.28515625" customWidth="1"/>
    <col min="9731" max="9731" width="13.7109375" customWidth="1"/>
    <col min="9733" max="9733" width="13.5703125" customWidth="1"/>
    <col min="9735" max="9735" width="14.42578125" customWidth="1"/>
    <col min="9737" max="9737" width="13.140625" customWidth="1"/>
    <col min="9739" max="9739" width="13.7109375" customWidth="1"/>
    <col min="9741" max="9741" width="13.42578125" customWidth="1"/>
    <col min="9742" max="9742" width="12.42578125" customWidth="1"/>
    <col min="9743" max="9743" width="12.140625" customWidth="1"/>
    <col min="9744" max="9744" width="17" customWidth="1"/>
    <col min="9745" max="9745" width="24.5703125" customWidth="1"/>
    <col min="9746" max="9746" width="14.42578125" customWidth="1"/>
    <col min="9747" max="9747" width="12" bestFit="1" customWidth="1"/>
    <col min="9985" max="9985" width="14.85546875" customWidth="1"/>
    <col min="9986" max="9986" width="14.28515625" customWidth="1"/>
    <col min="9987" max="9987" width="13.7109375" customWidth="1"/>
    <col min="9989" max="9989" width="13.5703125" customWidth="1"/>
    <col min="9991" max="9991" width="14.42578125" customWidth="1"/>
    <col min="9993" max="9993" width="13.140625" customWidth="1"/>
    <col min="9995" max="9995" width="13.7109375" customWidth="1"/>
    <col min="9997" max="9997" width="13.42578125" customWidth="1"/>
    <col min="9998" max="9998" width="12.42578125" customWidth="1"/>
    <col min="9999" max="9999" width="12.140625" customWidth="1"/>
    <col min="10000" max="10000" width="17" customWidth="1"/>
    <col min="10001" max="10001" width="24.5703125" customWidth="1"/>
    <col min="10002" max="10002" width="14.42578125" customWidth="1"/>
    <col min="10003" max="10003" width="12" bestFit="1" customWidth="1"/>
    <col min="10241" max="10241" width="14.85546875" customWidth="1"/>
    <col min="10242" max="10242" width="14.28515625" customWidth="1"/>
    <col min="10243" max="10243" width="13.7109375" customWidth="1"/>
    <col min="10245" max="10245" width="13.5703125" customWidth="1"/>
    <col min="10247" max="10247" width="14.42578125" customWidth="1"/>
    <col min="10249" max="10249" width="13.140625" customWidth="1"/>
    <col min="10251" max="10251" width="13.7109375" customWidth="1"/>
    <col min="10253" max="10253" width="13.42578125" customWidth="1"/>
    <col min="10254" max="10254" width="12.42578125" customWidth="1"/>
    <col min="10255" max="10255" width="12.140625" customWidth="1"/>
    <col min="10256" max="10256" width="17" customWidth="1"/>
    <col min="10257" max="10257" width="24.5703125" customWidth="1"/>
    <col min="10258" max="10258" width="14.42578125" customWidth="1"/>
    <col min="10259" max="10259" width="12" bestFit="1" customWidth="1"/>
    <col min="10497" max="10497" width="14.85546875" customWidth="1"/>
    <col min="10498" max="10498" width="14.28515625" customWidth="1"/>
    <col min="10499" max="10499" width="13.7109375" customWidth="1"/>
    <col min="10501" max="10501" width="13.5703125" customWidth="1"/>
    <col min="10503" max="10503" width="14.42578125" customWidth="1"/>
    <col min="10505" max="10505" width="13.140625" customWidth="1"/>
    <col min="10507" max="10507" width="13.7109375" customWidth="1"/>
    <col min="10509" max="10509" width="13.42578125" customWidth="1"/>
    <col min="10510" max="10510" width="12.42578125" customWidth="1"/>
    <col min="10511" max="10511" width="12.140625" customWidth="1"/>
    <col min="10512" max="10512" width="17" customWidth="1"/>
    <col min="10513" max="10513" width="24.5703125" customWidth="1"/>
    <col min="10514" max="10514" width="14.42578125" customWidth="1"/>
    <col min="10515" max="10515" width="12" bestFit="1" customWidth="1"/>
    <col min="10753" max="10753" width="14.85546875" customWidth="1"/>
    <col min="10754" max="10754" width="14.28515625" customWidth="1"/>
    <col min="10755" max="10755" width="13.7109375" customWidth="1"/>
    <col min="10757" max="10757" width="13.5703125" customWidth="1"/>
    <col min="10759" max="10759" width="14.42578125" customWidth="1"/>
    <col min="10761" max="10761" width="13.140625" customWidth="1"/>
    <col min="10763" max="10763" width="13.7109375" customWidth="1"/>
    <col min="10765" max="10765" width="13.42578125" customWidth="1"/>
    <col min="10766" max="10766" width="12.42578125" customWidth="1"/>
    <col min="10767" max="10767" width="12.140625" customWidth="1"/>
    <col min="10768" max="10768" width="17" customWidth="1"/>
    <col min="10769" max="10769" width="24.5703125" customWidth="1"/>
    <col min="10770" max="10770" width="14.42578125" customWidth="1"/>
    <col min="10771" max="10771" width="12" bestFit="1" customWidth="1"/>
    <col min="11009" max="11009" width="14.85546875" customWidth="1"/>
    <col min="11010" max="11010" width="14.28515625" customWidth="1"/>
    <col min="11011" max="11011" width="13.7109375" customWidth="1"/>
    <col min="11013" max="11013" width="13.5703125" customWidth="1"/>
    <col min="11015" max="11015" width="14.42578125" customWidth="1"/>
    <col min="11017" max="11017" width="13.140625" customWidth="1"/>
    <col min="11019" max="11019" width="13.7109375" customWidth="1"/>
    <col min="11021" max="11021" width="13.42578125" customWidth="1"/>
    <col min="11022" max="11022" width="12.42578125" customWidth="1"/>
    <col min="11023" max="11023" width="12.140625" customWidth="1"/>
    <col min="11024" max="11024" width="17" customWidth="1"/>
    <col min="11025" max="11025" width="24.5703125" customWidth="1"/>
    <col min="11026" max="11026" width="14.42578125" customWidth="1"/>
    <col min="11027" max="11027" width="12" bestFit="1" customWidth="1"/>
    <col min="11265" max="11265" width="14.85546875" customWidth="1"/>
    <col min="11266" max="11266" width="14.28515625" customWidth="1"/>
    <col min="11267" max="11267" width="13.7109375" customWidth="1"/>
    <col min="11269" max="11269" width="13.5703125" customWidth="1"/>
    <col min="11271" max="11271" width="14.42578125" customWidth="1"/>
    <col min="11273" max="11273" width="13.140625" customWidth="1"/>
    <col min="11275" max="11275" width="13.7109375" customWidth="1"/>
    <col min="11277" max="11277" width="13.42578125" customWidth="1"/>
    <col min="11278" max="11278" width="12.42578125" customWidth="1"/>
    <col min="11279" max="11279" width="12.140625" customWidth="1"/>
    <col min="11280" max="11280" width="17" customWidth="1"/>
    <col min="11281" max="11281" width="24.5703125" customWidth="1"/>
    <col min="11282" max="11282" width="14.42578125" customWidth="1"/>
    <col min="11283" max="11283" width="12" bestFit="1" customWidth="1"/>
    <col min="11521" max="11521" width="14.85546875" customWidth="1"/>
    <col min="11522" max="11522" width="14.28515625" customWidth="1"/>
    <col min="11523" max="11523" width="13.7109375" customWidth="1"/>
    <col min="11525" max="11525" width="13.5703125" customWidth="1"/>
    <col min="11527" max="11527" width="14.42578125" customWidth="1"/>
    <col min="11529" max="11529" width="13.140625" customWidth="1"/>
    <col min="11531" max="11531" width="13.7109375" customWidth="1"/>
    <col min="11533" max="11533" width="13.42578125" customWidth="1"/>
    <col min="11534" max="11534" width="12.42578125" customWidth="1"/>
    <col min="11535" max="11535" width="12.140625" customWidth="1"/>
    <col min="11536" max="11536" width="17" customWidth="1"/>
    <col min="11537" max="11537" width="24.5703125" customWidth="1"/>
    <col min="11538" max="11538" width="14.42578125" customWidth="1"/>
    <col min="11539" max="11539" width="12" bestFit="1" customWidth="1"/>
    <col min="11777" max="11777" width="14.85546875" customWidth="1"/>
    <col min="11778" max="11778" width="14.28515625" customWidth="1"/>
    <col min="11779" max="11779" width="13.7109375" customWidth="1"/>
    <col min="11781" max="11781" width="13.5703125" customWidth="1"/>
    <col min="11783" max="11783" width="14.42578125" customWidth="1"/>
    <col min="11785" max="11785" width="13.140625" customWidth="1"/>
    <col min="11787" max="11787" width="13.7109375" customWidth="1"/>
    <col min="11789" max="11789" width="13.42578125" customWidth="1"/>
    <col min="11790" max="11790" width="12.42578125" customWidth="1"/>
    <col min="11791" max="11791" width="12.140625" customWidth="1"/>
    <col min="11792" max="11792" width="17" customWidth="1"/>
    <col min="11793" max="11793" width="24.5703125" customWidth="1"/>
    <col min="11794" max="11794" width="14.42578125" customWidth="1"/>
    <col min="11795" max="11795" width="12" bestFit="1" customWidth="1"/>
    <col min="12033" max="12033" width="14.85546875" customWidth="1"/>
    <col min="12034" max="12034" width="14.28515625" customWidth="1"/>
    <col min="12035" max="12035" width="13.7109375" customWidth="1"/>
    <col min="12037" max="12037" width="13.5703125" customWidth="1"/>
    <col min="12039" max="12039" width="14.42578125" customWidth="1"/>
    <col min="12041" max="12041" width="13.140625" customWidth="1"/>
    <col min="12043" max="12043" width="13.7109375" customWidth="1"/>
    <col min="12045" max="12045" width="13.42578125" customWidth="1"/>
    <col min="12046" max="12046" width="12.42578125" customWidth="1"/>
    <col min="12047" max="12047" width="12.140625" customWidth="1"/>
    <col min="12048" max="12048" width="17" customWidth="1"/>
    <col min="12049" max="12049" width="24.5703125" customWidth="1"/>
    <col min="12050" max="12050" width="14.42578125" customWidth="1"/>
    <col min="12051" max="12051" width="12" bestFit="1" customWidth="1"/>
    <col min="12289" max="12289" width="14.85546875" customWidth="1"/>
    <col min="12290" max="12290" width="14.28515625" customWidth="1"/>
    <col min="12291" max="12291" width="13.7109375" customWidth="1"/>
    <col min="12293" max="12293" width="13.5703125" customWidth="1"/>
    <col min="12295" max="12295" width="14.42578125" customWidth="1"/>
    <col min="12297" max="12297" width="13.140625" customWidth="1"/>
    <col min="12299" max="12299" width="13.7109375" customWidth="1"/>
    <col min="12301" max="12301" width="13.42578125" customWidth="1"/>
    <col min="12302" max="12302" width="12.42578125" customWidth="1"/>
    <col min="12303" max="12303" width="12.140625" customWidth="1"/>
    <col min="12304" max="12304" width="17" customWidth="1"/>
    <col min="12305" max="12305" width="24.5703125" customWidth="1"/>
    <col min="12306" max="12306" width="14.42578125" customWidth="1"/>
    <col min="12307" max="12307" width="12" bestFit="1" customWidth="1"/>
    <col min="12545" max="12545" width="14.85546875" customWidth="1"/>
    <col min="12546" max="12546" width="14.28515625" customWidth="1"/>
    <col min="12547" max="12547" width="13.7109375" customWidth="1"/>
    <col min="12549" max="12549" width="13.5703125" customWidth="1"/>
    <col min="12551" max="12551" width="14.42578125" customWidth="1"/>
    <col min="12553" max="12553" width="13.140625" customWidth="1"/>
    <col min="12555" max="12555" width="13.7109375" customWidth="1"/>
    <col min="12557" max="12557" width="13.42578125" customWidth="1"/>
    <col min="12558" max="12558" width="12.42578125" customWidth="1"/>
    <col min="12559" max="12559" width="12.140625" customWidth="1"/>
    <col min="12560" max="12560" width="17" customWidth="1"/>
    <col min="12561" max="12561" width="24.5703125" customWidth="1"/>
    <col min="12562" max="12562" width="14.42578125" customWidth="1"/>
    <col min="12563" max="12563" width="12" bestFit="1" customWidth="1"/>
    <col min="12801" max="12801" width="14.85546875" customWidth="1"/>
    <col min="12802" max="12802" width="14.28515625" customWidth="1"/>
    <col min="12803" max="12803" width="13.7109375" customWidth="1"/>
    <col min="12805" max="12805" width="13.5703125" customWidth="1"/>
    <col min="12807" max="12807" width="14.42578125" customWidth="1"/>
    <col min="12809" max="12809" width="13.140625" customWidth="1"/>
    <col min="12811" max="12811" width="13.7109375" customWidth="1"/>
    <col min="12813" max="12813" width="13.42578125" customWidth="1"/>
    <col min="12814" max="12814" width="12.42578125" customWidth="1"/>
    <col min="12815" max="12815" width="12.140625" customWidth="1"/>
    <col min="12816" max="12816" width="17" customWidth="1"/>
    <col min="12817" max="12817" width="24.5703125" customWidth="1"/>
    <col min="12818" max="12818" width="14.42578125" customWidth="1"/>
    <col min="12819" max="12819" width="12" bestFit="1" customWidth="1"/>
    <col min="13057" max="13057" width="14.85546875" customWidth="1"/>
    <col min="13058" max="13058" width="14.28515625" customWidth="1"/>
    <col min="13059" max="13059" width="13.7109375" customWidth="1"/>
    <col min="13061" max="13061" width="13.5703125" customWidth="1"/>
    <col min="13063" max="13063" width="14.42578125" customWidth="1"/>
    <col min="13065" max="13065" width="13.140625" customWidth="1"/>
    <col min="13067" max="13067" width="13.7109375" customWidth="1"/>
    <col min="13069" max="13069" width="13.42578125" customWidth="1"/>
    <col min="13070" max="13070" width="12.42578125" customWidth="1"/>
    <col min="13071" max="13071" width="12.140625" customWidth="1"/>
    <col min="13072" max="13072" width="17" customWidth="1"/>
    <col min="13073" max="13073" width="24.5703125" customWidth="1"/>
    <col min="13074" max="13074" width="14.42578125" customWidth="1"/>
    <col min="13075" max="13075" width="12" bestFit="1" customWidth="1"/>
    <col min="13313" max="13313" width="14.85546875" customWidth="1"/>
    <col min="13314" max="13314" width="14.28515625" customWidth="1"/>
    <col min="13315" max="13315" width="13.7109375" customWidth="1"/>
    <col min="13317" max="13317" width="13.5703125" customWidth="1"/>
    <col min="13319" max="13319" width="14.42578125" customWidth="1"/>
    <col min="13321" max="13321" width="13.140625" customWidth="1"/>
    <col min="13323" max="13323" width="13.7109375" customWidth="1"/>
    <col min="13325" max="13325" width="13.42578125" customWidth="1"/>
    <col min="13326" max="13326" width="12.42578125" customWidth="1"/>
    <col min="13327" max="13327" width="12.140625" customWidth="1"/>
    <col min="13328" max="13328" width="17" customWidth="1"/>
    <col min="13329" max="13329" width="24.5703125" customWidth="1"/>
    <col min="13330" max="13330" width="14.42578125" customWidth="1"/>
    <col min="13331" max="13331" width="12" bestFit="1" customWidth="1"/>
    <col min="13569" max="13569" width="14.85546875" customWidth="1"/>
    <col min="13570" max="13570" width="14.28515625" customWidth="1"/>
    <col min="13571" max="13571" width="13.7109375" customWidth="1"/>
    <col min="13573" max="13573" width="13.5703125" customWidth="1"/>
    <col min="13575" max="13575" width="14.42578125" customWidth="1"/>
    <col min="13577" max="13577" width="13.140625" customWidth="1"/>
    <col min="13579" max="13579" width="13.7109375" customWidth="1"/>
    <col min="13581" max="13581" width="13.42578125" customWidth="1"/>
    <col min="13582" max="13582" width="12.42578125" customWidth="1"/>
    <col min="13583" max="13583" width="12.140625" customWidth="1"/>
    <col min="13584" max="13584" width="17" customWidth="1"/>
    <col min="13585" max="13585" width="24.5703125" customWidth="1"/>
    <col min="13586" max="13586" width="14.42578125" customWidth="1"/>
    <col min="13587" max="13587" width="12" bestFit="1" customWidth="1"/>
    <col min="13825" max="13825" width="14.85546875" customWidth="1"/>
    <col min="13826" max="13826" width="14.28515625" customWidth="1"/>
    <col min="13827" max="13827" width="13.7109375" customWidth="1"/>
    <col min="13829" max="13829" width="13.5703125" customWidth="1"/>
    <col min="13831" max="13831" width="14.42578125" customWidth="1"/>
    <col min="13833" max="13833" width="13.140625" customWidth="1"/>
    <col min="13835" max="13835" width="13.7109375" customWidth="1"/>
    <col min="13837" max="13837" width="13.42578125" customWidth="1"/>
    <col min="13838" max="13838" width="12.42578125" customWidth="1"/>
    <col min="13839" max="13839" width="12.140625" customWidth="1"/>
    <col min="13840" max="13840" width="17" customWidth="1"/>
    <col min="13841" max="13841" width="24.5703125" customWidth="1"/>
    <col min="13842" max="13842" width="14.42578125" customWidth="1"/>
    <col min="13843" max="13843" width="12" bestFit="1" customWidth="1"/>
    <col min="14081" max="14081" width="14.85546875" customWidth="1"/>
    <col min="14082" max="14082" width="14.28515625" customWidth="1"/>
    <col min="14083" max="14083" width="13.7109375" customWidth="1"/>
    <col min="14085" max="14085" width="13.5703125" customWidth="1"/>
    <col min="14087" max="14087" width="14.42578125" customWidth="1"/>
    <col min="14089" max="14089" width="13.140625" customWidth="1"/>
    <col min="14091" max="14091" width="13.7109375" customWidth="1"/>
    <col min="14093" max="14093" width="13.42578125" customWidth="1"/>
    <col min="14094" max="14094" width="12.42578125" customWidth="1"/>
    <col min="14095" max="14095" width="12.140625" customWidth="1"/>
    <col min="14096" max="14096" width="17" customWidth="1"/>
    <col min="14097" max="14097" width="24.5703125" customWidth="1"/>
    <col min="14098" max="14098" width="14.42578125" customWidth="1"/>
    <col min="14099" max="14099" width="12" bestFit="1" customWidth="1"/>
    <col min="14337" max="14337" width="14.85546875" customWidth="1"/>
    <col min="14338" max="14338" width="14.28515625" customWidth="1"/>
    <col min="14339" max="14339" width="13.7109375" customWidth="1"/>
    <col min="14341" max="14341" width="13.5703125" customWidth="1"/>
    <col min="14343" max="14343" width="14.42578125" customWidth="1"/>
    <col min="14345" max="14345" width="13.140625" customWidth="1"/>
    <col min="14347" max="14347" width="13.7109375" customWidth="1"/>
    <col min="14349" max="14349" width="13.42578125" customWidth="1"/>
    <col min="14350" max="14350" width="12.42578125" customWidth="1"/>
    <col min="14351" max="14351" width="12.140625" customWidth="1"/>
    <col min="14352" max="14352" width="17" customWidth="1"/>
    <col min="14353" max="14353" width="24.5703125" customWidth="1"/>
    <col min="14354" max="14354" width="14.42578125" customWidth="1"/>
    <col min="14355" max="14355" width="12" bestFit="1" customWidth="1"/>
    <col min="14593" max="14593" width="14.85546875" customWidth="1"/>
    <col min="14594" max="14594" width="14.28515625" customWidth="1"/>
    <col min="14595" max="14595" width="13.7109375" customWidth="1"/>
    <col min="14597" max="14597" width="13.5703125" customWidth="1"/>
    <col min="14599" max="14599" width="14.42578125" customWidth="1"/>
    <col min="14601" max="14601" width="13.140625" customWidth="1"/>
    <col min="14603" max="14603" width="13.7109375" customWidth="1"/>
    <col min="14605" max="14605" width="13.42578125" customWidth="1"/>
    <col min="14606" max="14606" width="12.42578125" customWidth="1"/>
    <col min="14607" max="14607" width="12.140625" customWidth="1"/>
    <col min="14608" max="14608" width="17" customWidth="1"/>
    <col min="14609" max="14609" width="24.5703125" customWidth="1"/>
    <col min="14610" max="14610" width="14.42578125" customWidth="1"/>
    <col min="14611" max="14611" width="12" bestFit="1" customWidth="1"/>
    <col min="14849" max="14849" width="14.85546875" customWidth="1"/>
    <col min="14850" max="14850" width="14.28515625" customWidth="1"/>
    <col min="14851" max="14851" width="13.7109375" customWidth="1"/>
    <col min="14853" max="14853" width="13.5703125" customWidth="1"/>
    <col min="14855" max="14855" width="14.42578125" customWidth="1"/>
    <col min="14857" max="14857" width="13.140625" customWidth="1"/>
    <col min="14859" max="14859" width="13.7109375" customWidth="1"/>
    <col min="14861" max="14861" width="13.42578125" customWidth="1"/>
    <col min="14862" max="14862" width="12.42578125" customWidth="1"/>
    <col min="14863" max="14863" width="12.140625" customWidth="1"/>
    <col min="14864" max="14864" width="17" customWidth="1"/>
    <col min="14865" max="14865" width="24.5703125" customWidth="1"/>
    <col min="14866" max="14866" width="14.42578125" customWidth="1"/>
    <col min="14867" max="14867" width="12" bestFit="1" customWidth="1"/>
    <col min="15105" max="15105" width="14.85546875" customWidth="1"/>
    <col min="15106" max="15106" width="14.28515625" customWidth="1"/>
    <col min="15107" max="15107" width="13.7109375" customWidth="1"/>
    <col min="15109" max="15109" width="13.5703125" customWidth="1"/>
    <col min="15111" max="15111" width="14.42578125" customWidth="1"/>
    <col min="15113" max="15113" width="13.140625" customWidth="1"/>
    <col min="15115" max="15115" width="13.7109375" customWidth="1"/>
    <col min="15117" max="15117" width="13.42578125" customWidth="1"/>
    <col min="15118" max="15118" width="12.42578125" customWidth="1"/>
    <col min="15119" max="15119" width="12.140625" customWidth="1"/>
    <col min="15120" max="15120" width="17" customWidth="1"/>
    <col min="15121" max="15121" width="24.5703125" customWidth="1"/>
    <col min="15122" max="15122" width="14.42578125" customWidth="1"/>
    <col min="15123" max="15123" width="12" bestFit="1" customWidth="1"/>
    <col min="15361" max="15361" width="14.85546875" customWidth="1"/>
    <col min="15362" max="15362" width="14.28515625" customWidth="1"/>
    <col min="15363" max="15363" width="13.7109375" customWidth="1"/>
    <col min="15365" max="15365" width="13.5703125" customWidth="1"/>
    <col min="15367" max="15367" width="14.42578125" customWidth="1"/>
    <col min="15369" max="15369" width="13.140625" customWidth="1"/>
    <col min="15371" max="15371" width="13.7109375" customWidth="1"/>
    <col min="15373" max="15373" width="13.42578125" customWidth="1"/>
    <col min="15374" max="15374" width="12.42578125" customWidth="1"/>
    <col min="15375" max="15375" width="12.140625" customWidth="1"/>
    <col min="15376" max="15376" width="17" customWidth="1"/>
    <col min="15377" max="15377" width="24.5703125" customWidth="1"/>
    <col min="15378" max="15378" width="14.42578125" customWidth="1"/>
    <col min="15379" max="15379" width="12" bestFit="1" customWidth="1"/>
    <col min="15617" max="15617" width="14.85546875" customWidth="1"/>
    <col min="15618" max="15618" width="14.28515625" customWidth="1"/>
    <col min="15619" max="15619" width="13.7109375" customWidth="1"/>
    <col min="15621" max="15621" width="13.5703125" customWidth="1"/>
    <col min="15623" max="15623" width="14.42578125" customWidth="1"/>
    <col min="15625" max="15625" width="13.140625" customWidth="1"/>
    <col min="15627" max="15627" width="13.7109375" customWidth="1"/>
    <col min="15629" max="15629" width="13.42578125" customWidth="1"/>
    <col min="15630" max="15630" width="12.42578125" customWidth="1"/>
    <col min="15631" max="15631" width="12.140625" customWidth="1"/>
    <col min="15632" max="15632" width="17" customWidth="1"/>
    <col min="15633" max="15633" width="24.5703125" customWidth="1"/>
    <col min="15634" max="15634" width="14.42578125" customWidth="1"/>
    <col min="15635" max="15635" width="12" bestFit="1" customWidth="1"/>
    <col min="15873" max="15873" width="14.85546875" customWidth="1"/>
    <col min="15874" max="15874" width="14.28515625" customWidth="1"/>
    <col min="15875" max="15875" width="13.7109375" customWidth="1"/>
    <col min="15877" max="15877" width="13.5703125" customWidth="1"/>
    <col min="15879" max="15879" width="14.42578125" customWidth="1"/>
    <col min="15881" max="15881" width="13.140625" customWidth="1"/>
    <col min="15883" max="15883" width="13.7109375" customWidth="1"/>
    <col min="15885" max="15885" width="13.42578125" customWidth="1"/>
    <col min="15886" max="15886" width="12.42578125" customWidth="1"/>
    <col min="15887" max="15887" width="12.140625" customWidth="1"/>
    <col min="15888" max="15888" width="17" customWidth="1"/>
    <col min="15889" max="15889" width="24.5703125" customWidth="1"/>
    <col min="15890" max="15890" width="14.42578125" customWidth="1"/>
    <col min="15891" max="15891" width="12" bestFit="1" customWidth="1"/>
    <col min="16129" max="16129" width="14.85546875" customWidth="1"/>
    <col min="16130" max="16130" width="14.28515625" customWidth="1"/>
    <col min="16131" max="16131" width="13.7109375" customWidth="1"/>
    <col min="16133" max="16133" width="13.5703125" customWidth="1"/>
    <col min="16135" max="16135" width="14.42578125" customWidth="1"/>
    <col min="16137" max="16137" width="13.140625" customWidth="1"/>
    <col min="16139" max="16139" width="13.7109375" customWidth="1"/>
    <col min="16141" max="16141" width="13.42578125" customWidth="1"/>
    <col min="16142" max="16142" width="12.42578125" customWidth="1"/>
    <col min="16143" max="16143" width="12.140625" customWidth="1"/>
    <col min="16144" max="16144" width="17" customWidth="1"/>
    <col min="16145" max="16145" width="24.5703125" customWidth="1"/>
    <col min="16146" max="16146" width="14.42578125" customWidth="1"/>
    <col min="16147" max="16147" width="12" bestFit="1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11</v>
      </c>
      <c r="C6">
        <v>852.02585999999985</v>
      </c>
      <c r="D6">
        <v>0</v>
      </c>
      <c r="E6">
        <v>727.73567999999989</v>
      </c>
      <c r="F6">
        <v>0</v>
      </c>
      <c r="G6">
        <v>294.08665999999999</v>
      </c>
      <c r="H6">
        <v>0</v>
      </c>
      <c r="I6">
        <v>104.48528999999999</v>
      </c>
      <c r="J6">
        <v>2</v>
      </c>
      <c r="K6">
        <v>41.484001999999997</v>
      </c>
      <c r="L6">
        <v>2</v>
      </c>
      <c r="M6">
        <v>18.208848</v>
      </c>
      <c r="N6">
        <v>0</v>
      </c>
      <c r="O6">
        <v>8.5712577999999997</v>
      </c>
      <c r="P6" s="3">
        <f>(B6*C6)+(D6*E6)+(F6*G6)+(H6*I6)+(J6*K6)+(L6*M6)+(N6*O6)</f>
        <v>119.38569999999999</v>
      </c>
    </row>
    <row r="7" spans="1:19" x14ac:dyDescent="0.2">
      <c r="A7">
        <v>10000</v>
      </c>
      <c r="B7">
        <v>83</v>
      </c>
      <c r="C7">
        <v>852.02585999999985</v>
      </c>
      <c r="D7">
        <v>25</v>
      </c>
      <c r="E7">
        <v>727.73567999999989</v>
      </c>
      <c r="F7">
        <v>75</v>
      </c>
      <c r="G7">
        <v>294.08665999999999</v>
      </c>
      <c r="H7">
        <v>157</v>
      </c>
      <c r="I7">
        <v>104.48528999999999</v>
      </c>
      <c r="J7">
        <v>310</v>
      </c>
      <c r="K7">
        <v>41.484001999999997</v>
      </c>
      <c r="L7">
        <v>346</v>
      </c>
      <c r="M7">
        <v>18.208848</v>
      </c>
      <c r="N7">
        <v>270</v>
      </c>
      <c r="O7">
        <v>8.5712577999999997</v>
      </c>
      <c r="P7" s="3">
        <f t="shared" ref="P7:P21" si="0">(B7*C7)+(D7*E7)+(F7*G7)+(H7*I7)+(J7*K7)+(L7*M7)+(N7*O7)</f>
        <v>148846.77004399995</v>
      </c>
    </row>
    <row r="8" spans="1:19" x14ac:dyDescent="0.2">
      <c r="A8">
        <v>20000</v>
      </c>
      <c r="B8">
        <v>50</v>
      </c>
      <c r="C8">
        <v>852.02585999999985</v>
      </c>
      <c r="D8">
        <v>61</v>
      </c>
      <c r="E8">
        <v>727.73567999999989</v>
      </c>
      <c r="F8">
        <v>184</v>
      </c>
      <c r="G8">
        <v>294.08665999999999</v>
      </c>
      <c r="H8">
        <v>406</v>
      </c>
      <c r="I8">
        <v>104.48528999999999</v>
      </c>
      <c r="J8">
        <v>682</v>
      </c>
      <c r="K8">
        <v>41.484001999999997</v>
      </c>
      <c r="L8">
        <v>688</v>
      </c>
      <c r="M8">
        <v>18.208848</v>
      </c>
      <c r="N8">
        <v>421</v>
      </c>
      <c r="O8">
        <v>8.5712577999999997</v>
      </c>
      <c r="P8" s="3">
        <f t="shared" si="0"/>
        <v>227954.41898179997</v>
      </c>
    </row>
    <row r="9" spans="1:19" x14ac:dyDescent="0.2">
      <c r="A9">
        <v>30000</v>
      </c>
      <c r="B9">
        <v>20</v>
      </c>
      <c r="C9">
        <v>852.02585999999985</v>
      </c>
      <c r="D9">
        <v>30</v>
      </c>
      <c r="E9">
        <v>727.73567999999989</v>
      </c>
      <c r="F9">
        <v>96</v>
      </c>
      <c r="G9">
        <v>294.08665999999999</v>
      </c>
      <c r="H9">
        <v>260</v>
      </c>
      <c r="I9">
        <v>104.48528999999999</v>
      </c>
      <c r="J9">
        <v>447</v>
      </c>
      <c r="K9">
        <v>41.484001999999997</v>
      </c>
      <c r="L9">
        <v>470</v>
      </c>
      <c r="M9">
        <v>18.208848</v>
      </c>
      <c r="N9">
        <v>297</v>
      </c>
      <c r="O9">
        <v>8.5712577999999997</v>
      </c>
      <c r="P9" s="3">
        <f t="shared" si="0"/>
        <v>123918.25338059997</v>
      </c>
    </row>
    <row r="10" spans="1:19" x14ac:dyDescent="0.2">
      <c r="A10">
        <v>40000</v>
      </c>
      <c r="B10">
        <v>11</v>
      </c>
      <c r="C10">
        <v>852.02585999999985</v>
      </c>
      <c r="D10">
        <v>18</v>
      </c>
      <c r="E10">
        <v>727.73567999999989</v>
      </c>
      <c r="F10">
        <v>66</v>
      </c>
      <c r="G10">
        <v>294.08665999999999</v>
      </c>
      <c r="H10">
        <v>160</v>
      </c>
      <c r="I10">
        <v>104.48528999999999</v>
      </c>
      <c r="J10">
        <v>312</v>
      </c>
      <c r="K10">
        <v>41.484001999999997</v>
      </c>
      <c r="L10">
        <v>294</v>
      </c>
      <c r="M10">
        <v>18.208848</v>
      </c>
      <c r="N10">
        <v>231</v>
      </c>
      <c r="O10">
        <v>8.5712577999999997</v>
      </c>
      <c r="P10" s="3">
        <f t="shared" si="0"/>
        <v>78875.263147799997</v>
      </c>
    </row>
    <row r="11" spans="1:19" x14ac:dyDescent="0.2">
      <c r="A11">
        <v>50000</v>
      </c>
      <c r="B11">
        <v>5</v>
      </c>
      <c r="C11">
        <v>852.02585999999985</v>
      </c>
      <c r="D11">
        <v>12</v>
      </c>
      <c r="E11">
        <v>727.73567999999989</v>
      </c>
      <c r="F11">
        <v>43</v>
      </c>
      <c r="G11">
        <v>294.08665999999999</v>
      </c>
      <c r="H11">
        <v>97</v>
      </c>
      <c r="I11">
        <v>104.48528999999999</v>
      </c>
      <c r="J11">
        <v>227</v>
      </c>
      <c r="K11">
        <v>41.484001999999997</v>
      </c>
      <c r="L11">
        <v>224</v>
      </c>
      <c r="M11">
        <v>18.208848</v>
      </c>
      <c r="N11">
        <v>179</v>
      </c>
      <c r="O11">
        <v>8.5712577999999997</v>
      </c>
      <c r="P11" s="3">
        <f t="shared" si="0"/>
        <v>50803.662522199993</v>
      </c>
      <c r="Q11" s="3">
        <f t="shared" ref="Q11:Q19" si="1">Q12+P11</f>
        <v>214820.79511759998</v>
      </c>
      <c r="R11">
        <v>3882798</v>
      </c>
      <c r="S11" s="21">
        <f t="shared" ref="S11:S20" si="2">(Q11/R11)*100</f>
        <v>5.5326286641128375</v>
      </c>
    </row>
    <row r="12" spans="1:19" x14ac:dyDescent="0.2">
      <c r="A12">
        <v>60000</v>
      </c>
      <c r="C12">
        <v>852.02585999999985</v>
      </c>
      <c r="D12">
        <v>9</v>
      </c>
      <c r="E12">
        <v>727.73567999999989</v>
      </c>
      <c r="F12">
        <v>51</v>
      </c>
      <c r="G12">
        <v>294.08665999999999</v>
      </c>
      <c r="H12">
        <v>150</v>
      </c>
      <c r="I12">
        <v>104.48528999999999</v>
      </c>
      <c r="J12">
        <v>249</v>
      </c>
      <c r="K12">
        <v>41.484001999999997</v>
      </c>
      <c r="L12">
        <v>329</v>
      </c>
      <c r="M12">
        <v>18.208848</v>
      </c>
      <c r="N12">
        <v>201</v>
      </c>
      <c r="O12">
        <v>8.5712577999999997</v>
      </c>
      <c r="P12" s="3">
        <f t="shared" si="0"/>
        <v>55263.884587799992</v>
      </c>
      <c r="Q12" s="3">
        <f t="shared" si="1"/>
        <v>164017.13259539998</v>
      </c>
      <c r="R12">
        <v>3882798</v>
      </c>
      <c r="S12" s="21">
        <f t="shared" si="2"/>
        <v>4.2241994714996753</v>
      </c>
    </row>
    <row r="13" spans="1:19" x14ac:dyDescent="0.2">
      <c r="A13">
        <v>80000</v>
      </c>
      <c r="B13">
        <v>1</v>
      </c>
      <c r="C13">
        <v>852.02585999999985</v>
      </c>
      <c r="D13">
        <v>5</v>
      </c>
      <c r="E13">
        <v>727.73567999999989</v>
      </c>
      <c r="F13">
        <v>27</v>
      </c>
      <c r="G13">
        <v>294.08665999999999</v>
      </c>
      <c r="H13">
        <v>83</v>
      </c>
      <c r="I13">
        <v>104.48528999999999</v>
      </c>
      <c r="J13">
        <v>160</v>
      </c>
      <c r="K13">
        <v>41.484001999999997</v>
      </c>
      <c r="L13">
        <v>185</v>
      </c>
      <c r="M13">
        <v>18.208848</v>
      </c>
      <c r="N13">
        <v>111</v>
      </c>
      <c r="O13">
        <v>8.5712577999999997</v>
      </c>
      <c r="P13" s="3">
        <f t="shared" si="0"/>
        <v>32060.809965799996</v>
      </c>
      <c r="Q13" s="3">
        <f t="shared" si="1"/>
        <v>108753.24800759999</v>
      </c>
      <c r="R13">
        <v>3882798</v>
      </c>
      <c r="S13" s="21">
        <f t="shared" si="2"/>
        <v>2.8008989395688366</v>
      </c>
    </row>
    <row r="14" spans="1:19" x14ac:dyDescent="0.2">
      <c r="A14">
        <v>100000</v>
      </c>
      <c r="B14">
        <v>1</v>
      </c>
      <c r="C14">
        <v>852.02585999999985</v>
      </c>
      <c r="D14">
        <v>6</v>
      </c>
      <c r="E14">
        <v>727.73567999999989</v>
      </c>
      <c r="F14">
        <v>13</v>
      </c>
      <c r="G14">
        <v>294.08665999999999</v>
      </c>
      <c r="H14">
        <v>51</v>
      </c>
      <c r="I14">
        <v>104.48528999999999</v>
      </c>
      <c r="J14">
        <v>105</v>
      </c>
      <c r="K14">
        <v>41.484001999999997</v>
      </c>
      <c r="L14">
        <v>99</v>
      </c>
      <c r="M14">
        <v>18.208848</v>
      </c>
      <c r="N14">
        <v>80</v>
      </c>
      <c r="O14">
        <v>8.5712577999999997</v>
      </c>
      <c r="P14" s="3">
        <f t="shared" si="0"/>
        <v>21214.513096000002</v>
      </c>
      <c r="Q14" s="3">
        <f t="shared" si="1"/>
        <v>76692.438041799993</v>
      </c>
      <c r="R14">
        <v>3882798</v>
      </c>
      <c r="S14" s="21">
        <f t="shared" si="2"/>
        <v>1.9751848548855744</v>
      </c>
    </row>
    <row r="15" spans="1:19" x14ac:dyDescent="0.2">
      <c r="A15">
        <v>120000</v>
      </c>
      <c r="C15">
        <v>852.02585999999985</v>
      </c>
      <c r="D15">
        <v>3</v>
      </c>
      <c r="E15">
        <v>727.73567999999989</v>
      </c>
      <c r="F15">
        <v>13</v>
      </c>
      <c r="G15">
        <v>294.08665999999999</v>
      </c>
      <c r="H15">
        <v>32</v>
      </c>
      <c r="I15">
        <v>104.48528999999999</v>
      </c>
      <c r="J15">
        <v>79</v>
      </c>
      <c r="K15">
        <v>41.484001999999997</v>
      </c>
      <c r="L15">
        <v>97</v>
      </c>
      <c r="M15">
        <v>18.208848</v>
      </c>
      <c r="N15">
        <v>73</v>
      </c>
      <c r="O15">
        <v>8.5712577999999997</v>
      </c>
      <c r="P15" s="3">
        <f t="shared" si="0"/>
        <v>15019.0591334</v>
      </c>
      <c r="Q15" s="3">
        <f t="shared" si="1"/>
        <v>55477.92494579999</v>
      </c>
      <c r="R15">
        <v>3882798</v>
      </c>
      <c r="S15" s="24">
        <f t="shared" si="2"/>
        <v>1.4288130607309468</v>
      </c>
    </row>
    <row r="16" spans="1:19" x14ac:dyDescent="0.2">
      <c r="A16">
        <v>140000</v>
      </c>
      <c r="B16">
        <v>1</v>
      </c>
      <c r="C16">
        <v>852.02585999999985</v>
      </c>
      <c r="D16">
        <v>0</v>
      </c>
      <c r="E16">
        <v>727.73567999999989</v>
      </c>
      <c r="F16">
        <v>12</v>
      </c>
      <c r="G16">
        <v>294.08665999999999</v>
      </c>
      <c r="H16">
        <v>54</v>
      </c>
      <c r="I16">
        <v>104.48528999999999</v>
      </c>
      <c r="J16">
        <v>109</v>
      </c>
      <c r="K16">
        <v>41.484001999999997</v>
      </c>
      <c r="L16">
        <v>135</v>
      </c>
      <c r="M16">
        <v>18.208848</v>
      </c>
      <c r="N16">
        <v>94</v>
      </c>
      <c r="O16">
        <v>8.5712577999999997</v>
      </c>
      <c r="P16" s="3">
        <f t="shared" si="0"/>
        <v>17808.920371199998</v>
      </c>
      <c r="Q16" s="3">
        <f t="shared" si="1"/>
        <v>40458.865812399992</v>
      </c>
      <c r="R16">
        <v>3882798</v>
      </c>
      <c r="S16" s="24">
        <f t="shared" si="2"/>
        <v>1.0420028498108838</v>
      </c>
    </row>
    <row r="17" spans="1:19" x14ac:dyDescent="0.2">
      <c r="A17">
        <v>200000</v>
      </c>
      <c r="B17">
        <v>3</v>
      </c>
      <c r="C17">
        <v>852.02585999999985</v>
      </c>
      <c r="D17">
        <v>8</v>
      </c>
      <c r="E17">
        <v>727.73567999999989</v>
      </c>
      <c r="F17">
        <v>0</v>
      </c>
      <c r="G17">
        <v>294.08665999999999</v>
      </c>
      <c r="H17">
        <v>38</v>
      </c>
      <c r="I17">
        <v>104.48528999999999</v>
      </c>
      <c r="J17">
        <v>60</v>
      </c>
      <c r="K17">
        <v>41.484001999999997</v>
      </c>
      <c r="L17">
        <v>75</v>
      </c>
      <c r="M17">
        <v>18.208848</v>
      </c>
      <c r="N17">
        <v>62</v>
      </c>
      <c r="O17">
        <v>8.5712577999999997</v>
      </c>
      <c r="P17" s="3">
        <f t="shared" si="0"/>
        <v>16734.525743599999</v>
      </c>
      <c r="Q17" s="3">
        <f t="shared" si="1"/>
        <v>22649.945441199998</v>
      </c>
      <c r="R17">
        <v>3882798</v>
      </c>
      <c r="S17" s="24">
        <f t="shared" si="2"/>
        <v>0.58334081353704204</v>
      </c>
    </row>
    <row r="18" spans="1:19" x14ac:dyDescent="0.2">
      <c r="A18">
        <v>350000</v>
      </c>
      <c r="B18">
        <v>0</v>
      </c>
      <c r="C18">
        <v>852.02585999999985</v>
      </c>
      <c r="D18">
        <v>0</v>
      </c>
      <c r="E18">
        <v>727.73567999999989</v>
      </c>
      <c r="F18">
        <v>7</v>
      </c>
      <c r="G18">
        <v>294.08665999999999</v>
      </c>
      <c r="H18">
        <v>7</v>
      </c>
      <c r="I18">
        <v>104.48528999999999</v>
      </c>
      <c r="J18">
        <v>16</v>
      </c>
      <c r="K18">
        <v>41.484001999999997</v>
      </c>
      <c r="L18">
        <v>25</v>
      </c>
      <c r="M18">
        <v>18.208848</v>
      </c>
      <c r="N18">
        <v>18</v>
      </c>
      <c r="O18">
        <v>8.5712577999999997</v>
      </c>
      <c r="P18" s="3">
        <f t="shared" si="0"/>
        <v>4063.2515223999999</v>
      </c>
      <c r="Q18" s="3">
        <f t="shared" si="1"/>
        <v>5915.4196976000003</v>
      </c>
      <c r="R18">
        <v>3882798</v>
      </c>
      <c r="S18" s="24">
        <f t="shared" si="2"/>
        <v>0.15234940621685703</v>
      </c>
    </row>
    <row r="19" spans="1:19" x14ac:dyDescent="0.2">
      <c r="A19">
        <v>500000</v>
      </c>
      <c r="C19">
        <v>852.02585999999985</v>
      </c>
      <c r="D19">
        <v>0</v>
      </c>
      <c r="E19">
        <v>727.73567999999989</v>
      </c>
      <c r="F19">
        <v>0</v>
      </c>
      <c r="G19">
        <v>294.08665999999999</v>
      </c>
      <c r="H19">
        <v>5</v>
      </c>
      <c r="I19">
        <v>104.48528999999999</v>
      </c>
      <c r="J19">
        <v>13</v>
      </c>
      <c r="K19">
        <v>41.484001999999997</v>
      </c>
      <c r="L19">
        <v>18</v>
      </c>
      <c r="M19">
        <v>18.208848</v>
      </c>
      <c r="N19">
        <v>15</v>
      </c>
      <c r="O19">
        <v>8.5712577999999997</v>
      </c>
      <c r="P19" s="3">
        <f t="shared" si="0"/>
        <v>1518.046607</v>
      </c>
      <c r="Q19" s="3">
        <f t="shared" si="1"/>
        <v>1852.1681752</v>
      </c>
      <c r="R19">
        <v>3882798</v>
      </c>
      <c r="S19" s="24">
        <f t="shared" si="2"/>
        <v>4.7701893716850581E-2</v>
      </c>
    </row>
    <row r="20" spans="1:19" x14ac:dyDescent="0.2">
      <c r="A20" t="s">
        <v>12</v>
      </c>
      <c r="C20">
        <v>852.02585999999985</v>
      </c>
      <c r="D20">
        <v>0</v>
      </c>
      <c r="E20">
        <v>727.73567999999989</v>
      </c>
      <c r="F20">
        <v>0</v>
      </c>
      <c r="G20">
        <v>294.08665999999999</v>
      </c>
      <c r="H20">
        <v>0</v>
      </c>
      <c r="I20">
        <v>104.48528999999999</v>
      </c>
      <c r="J20">
        <v>4</v>
      </c>
      <c r="K20">
        <v>41.484001999999997</v>
      </c>
      <c r="L20">
        <v>5</v>
      </c>
      <c r="M20">
        <v>18.208848</v>
      </c>
      <c r="N20">
        <v>9</v>
      </c>
      <c r="O20">
        <v>8.5712577999999997</v>
      </c>
      <c r="P20" s="3">
        <f t="shared" si="0"/>
        <v>334.12156819999996</v>
      </c>
      <c r="Q20" s="3">
        <f>P20</f>
        <v>334.12156819999996</v>
      </c>
      <c r="R20">
        <v>3882798</v>
      </c>
      <c r="S20" s="24">
        <f t="shared" si="2"/>
        <v>8.6051751391651062E-3</v>
      </c>
    </row>
    <row r="21" spans="1:19" x14ac:dyDescent="0.2">
      <c r="A21" t="s">
        <v>3</v>
      </c>
      <c r="B21">
        <v>175</v>
      </c>
      <c r="C21">
        <v>852.02585999999985</v>
      </c>
      <c r="D21">
        <f t="shared" ref="D21:N21" si="3">SUM(D6:D20)</f>
        <v>177</v>
      </c>
      <c r="E21">
        <v>727.73567999999989</v>
      </c>
      <c r="F21">
        <f t="shared" si="3"/>
        <v>587</v>
      </c>
      <c r="G21">
        <v>294.08665999999999</v>
      </c>
      <c r="H21">
        <f t="shared" si="3"/>
        <v>1500</v>
      </c>
      <c r="I21">
        <v>104.48528999999999</v>
      </c>
      <c r="J21">
        <f t="shared" si="3"/>
        <v>2775</v>
      </c>
      <c r="K21">
        <v>41.484001999999997</v>
      </c>
      <c r="L21">
        <f t="shared" si="3"/>
        <v>2992</v>
      </c>
      <c r="M21">
        <v>18.208848</v>
      </c>
      <c r="N21">
        <f t="shared" si="3"/>
        <v>2061</v>
      </c>
      <c r="O21">
        <v>8.5712577999999997</v>
      </c>
      <c r="P21" s="3">
        <f t="shared" si="0"/>
        <v>794534.88637179998</v>
      </c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75</v>
      </c>
      <c r="B32" s="14">
        <v>5.0000000000000001E-4</v>
      </c>
      <c r="C32" s="4">
        <f>S19/100</f>
        <v>4.7701893716850584E-4</v>
      </c>
      <c r="D32">
        <f>S18/100</f>
        <v>1.5234940621685702E-3</v>
      </c>
      <c r="E32">
        <v>500000</v>
      </c>
      <c r="F32">
        <v>350000</v>
      </c>
      <c r="G32">
        <f t="shared" ref="G32:G37" si="4">D32/C32</f>
        <v>3.1937810922386913</v>
      </c>
      <c r="H32">
        <f t="shared" ref="H32:H37" si="5">LN(G32)</f>
        <v>1.1612055102614143</v>
      </c>
      <c r="I32">
        <f t="shared" ref="I32:I37" si="6">E32/F32</f>
        <v>1.4285714285714286</v>
      </c>
      <c r="J32">
        <f t="shared" ref="J32:J37" si="7">LN(I32)</f>
        <v>0.35667494393873239</v>
      </c>
      <c r="K32" s="4">
        <f t="shared" ref="K32:K37" si="8">H32/J32</f>
        <v>3.2556408292612771</v>
      </c>
      <c r="L32" s="4">
        <f t="shared" ref="L32:L37" si="9">F32*POWER(D32,1/K32)</f>
        <v>47725.632852166687</v>
      </c>
      <c r="M32" s="20">
        <f t="shared" ref="M32:M37" si="10">POWER(B32,1/K32)</f>
        <v>9.6840784821620618E-2</v>
      </c>
      <c r="N32" s="8">
        <f t="shared" ref="N32:N37" si="11">L32/M32</f>
        <v>492825.75456277683</v>
      </c>
      <c r="O32" s="5">
        <v>3882798</v>
      </c>
      <c r="P32" s="8">
        <f>O32*(K32/(1-K32))*POWER(L32,K32)*(-1)*POWER(N32,1-K32)</f>
        <v>1380939767.4807274</v>
      </c>
      <c r="Q32" s="9">
        <f t="shared" ref="Q32:Q37" si="12">B32*O32</f>
        <v>1941.3990000000001</v>
      </c>
      <c r="R32" s="8">
        <f t="shared" ref="R32:R37" si="13">P32/Q32</f>
        <v>711311.67136726005</v>
      </c>
      <c r="S32" s="4">
        <f t="shared" ref="S32:S37" si="14">P32*8.0248*1.23</f>
        <v>13630571498.677589</v>
      </c>
    </row>
    <row r="33" spans="1:19" x14ac:dyDescent="0.2">
      <c r="A33" t="s">
        <v>75</v>
      </c>
      <c r="B33" s="14">
        <v>1E-3</v>
      </c>
      <c r="C33" s="4">
        <f>S19/100</f>
        <v>4.7701893716850584E-4</v>
      </c>
      <c r="D33">
        <f>S18/100</f>
        <v>1.5234940621685702E-3</v>
      </c>
      <c r="E33">
        <v>500000</v>
      </c>
      <c r="F33">
        <v>350000</v>
      </c>
      <c r="G33">
        <f t="shared" si="4"/>
        <v>3.1937810922386913</v>
      </c>
      <c r="H33">
        <f t="shared" si="5"/>
        <v>1.1612055102614143</v>
      </c>
      <c r="I33">
        <f t="shared" si="6"/>
        <v>1.4285714285714286</v>
      </c>
      <c r="J33">
        <f t="shared" si="7"/>
        <v>0.35667494393873239</v>
      </c>
      <c r="K33" s="4">
        <f t="shared" si="8"/>
        <v>3.2556408292612771</v>
      </c>
      <c r="L33" s="4">
        <f t="shared" si="9"/>
        <v>47725.632852166687</v>
      </c>
      <c r="M33" s="20">
        <f t="shared" si="10"/>
        <v>0.11981810041457835</v>
      </c>
      <c r="N33" s="8">
        <f t="shared" si="11"/>
        <v>398317.38850000891</v>
      </c>
      <c r="O33" s="5">
        <v>3882798</v>
      </c>
      <c r="P33" s="8">
        <f>O33*(K33/(1-K33))*POWER(L33,K33)*(POWER(N32,1-K33)-POWER(N33,1-K33))+P32</f>
        <v>2232238541.7812729</v>
      </c>
      <c r="Q33" s="9">
        <f t="shared" si="12"/>
        <v>3882.7980000000002</v>
      </c>
      <c r="R33" s="8">
        <f t="shared" si="13"/>
        <v>574904.62851306528</v>
      </c>
      <c r="S33" s="4">
        <f t="shared" si="14"/>
        <v>22033319455.606224</v>
      </c>
    </row>
    <row r="34" spans="1:19" x14ac:dyDescent="0.2">
      <c r="A34" t="s">
        <v>76</v>
      </c>
      <c r="B34" s="14">
        <v>2.5000000000000001E-3</v>
      </c>
      <c r="C34">
        <f>S18/100</f>
        <v>1.5234940621685702E-3</v>
      </c>
      <c r="D34">
        <f>S17/100</f>
        <v>5.8334081353704206E-3</v>
      </c>
      <c r="E34">
        <v>350000</v>
      </c>
      <c r="F34">
        <v>200000</v>
      </c>
      <c r="G34">
        <f t="shared" si="4"/>
        <v>3.8289667680535868</v>
      </c>
      <c r="H34">
        <f t="shared" si="5"/>
        <v>1.3425949934430226</v>
      </c>
      <c r="I34">
        <f t="shared" si="6"/>
        <v>1.75</v>
      </c>
      <c r="J34">
        <f t="shared" si="7"/>
        <v>0.55961578793542266</v>
      </c>
      <c r="K34" s="4">
        <f t="shared" si="8"/>
        <v>2.3991370908176601</v>
      </c>
      <c r="L34" s="4">
        <f t="shared" si="9"/>
        <v>23433.086983782625</v>
      </c>
      <c r="M34" s="20">
        <f t="shared" si="10"/>
        <v>8.230351446077179E-2</v>
      </c>
      <c r="N34" s="8">
        <f t="shared" si="11"/>
        <v>284715.5086548765</v>
      </c>
      <c r="O34" s="5">
        <v>3882798</v>
      </c>
      <c r="P34" s="8">
        <f>O34*(K34/(1-K34))*POWER(L34,K34)*(POWER(N33,1-K34)-POWER(N34,1-K34))+P33</f>
        <v>4008695085.4377494</v>
      </c>
      <c r="Q34" s="9">
        <f t="shared" si="12"/>
        <v>9706.9950000000008</v>
      </c>
      <c r="R34" s="8">
        <f t="shared" si="13"/>
        <v>412969.72806082101</v>
      </c>
      <c r="S34" s="4">
        <f t="shared" si="14"/>
        <v>39567840875.593651</v>
      </c>
    </row>
    <row r="35" spans="1:19" x14ac:dyDescent="0.2">
      <c r="A35" t="s">
        <v>76</v>
      </c>
      <c r="B35" s="14">
        <v>5.0000000000000001E-3</v>
      </c>
      <c r="C35">
        <f>S18/100</f>
        <v>1.5234940621685702E-3</v>
      </c>
      <c r="D35">
        <f>S17/100</f>
        <v>5.8334081353704206E-3</v>
      </c>
      <c r="E35">
        <v>350000</v>
      </c>
      <c r="F35">
        <v>200000</v>
      </c>
      <c r="G35">
        <f t="shared" si="4"/>
        <v>3.8289667680535868</v>
      </c>
      <c r="H35">
        <f t="shared" si="5"/>
        <v>1.3425949934430226</v>
      </c>
      <c r="I35">
        <f t="shared" si="6"/>
        <v>1.75</v>
      </c>
      <c r="J35">
        <f t="shared" si="7"/>
        <v>0.55961578793542266</v>
      </c>
      <c r="K35" s="4">
        <f t="shared" si="8"/>
        <v>2.3991370908176601</v>
      </c>
      <c r="L35" s="4">
        <f t="shared" si="9"/>
        <v>23433.086983782625</v>
      </c>
      <c r="M35" s="20">
        <f t="shared" si="10"/>
        <v>0.10987342409674748</v>
      </c>
      <c r="N35" s="8">
        <f t="shared" si="11"/>
        <v>213273.47515035985</v>
      </c>
      <c r="O35" s="5">
        <v>3882798</v>
      </c>
      <c r="P35" s="8">
        <f>O35*(K35/(1-K35))*POWER(L35,K35)*(POWER(N34,1-K35)-POWER(N35,1-K35))+P34</f>
        <v>6369456609.8772345</v>
      </c>
      <c r="Q35" s="9">
        <f t="shared" si="12"/>
        <v>19413.990000000002</v>
      </c>
      <c r="R35" s="8">
        <f t="shared" si="13"/>
        <v>328085.91175112553</v>
      </c>
      <c r="S35" s="4">
        <f t="shared" si="14"/>
        <v>62869746945.619682</v>
      </c>
    </row>
    <row r="36" spans="1:19" x14ac:dyDescent="0.2">
      <c r="A36" t="s">
        <v>70</v>
      </c>
      <c r="B36" s="14">
        <v>0.01</v>
      </c>
      <c r="C36">
        <f>S17/100</f>
        <v>5.8334081353704206E-3</v>
      </c>
      <c r="D36">
        <f>S16/100</f>
        <v>1.0420028498108837E-2</v>
      </c>
      <c r="E36">
        <v>200000</v>
      </c>
      <c r="F36">
        <v>140000</v>
      </c>
      <c r="G36">
        <f t="shared" si="4"/>
        <v>1.7862676939965501</v>
      </c>
      <c r="H36">
        <f t="shared" si="5"/>
        <v>0.58012835587924749</v>
      </c>
      <c r="I36">
        <f t="shared" si="6"/>
        <v>1.4285714285714286</v>
      </c>
      <c r="J36">
        <f t="shared" si="7"/>
        <v>0.35667494393873239</v>
      </c>
      <c r="K36" s="4">
        <f t="shared" si="8"/>
        <v>1.6264903541385252</v>
      </c>
      <c r="L36" s="4">
        <f t="shared" si="9"/>
        <v>8461.9944072358958</v>
      </c>
      <c r="M36" s="20">
        <f t="shared" si="10"/>
        <v>5.8932996515321467E-2</v>
      </c>
      <c r="N36" s="8">
        <f t="shared" si="11"/>
        <v>143586.6985829566</v>
      </c>
      <c r="O36" s="5">
        <v>3882798</v>
      </c>
      <c r="P36" s="8">
        <f>O36*(K36/(1-K36))*POWER(L36,K36)*(POWER(N35,1-K36)-POWER(N36,1-K36))+P35</f>
        <v>9547026415.1895218</v>
      </c>
      <c r="Q36" s="9">
        <f t="shared" si="12"/>
        <v>38827.980000000003</v>
      </c>
      <c r="R36" s="8">
        <f t="shared" si="13"/>
        <v>245880.06935177985</v>
      </c>
      <c r="S36" s="4">
        <f t="shared" si="14"/>
        <v>94233962419.233841</v>
      </c>
    </row>
    <row r="37" spans="1:19" x14ac:dyDescent="0.2">
      <c r="A37" t="s">
        <v>74</v>
      </c>
      <c r="B37" s="14">
        <v>0.02</v>
      </c>
      <c r="C37">
        <f>S14/100</f>
        <v>1.9751848548855745E-2</v>
      </c>
      <c r="D37">
        <f>S13/100</f>
        <v>2.8008989395688366E-2</v>
      </c>
      <c r="E37">
        <v>100000</v>
      </c>
      <c r="F37">
        <v>80000</v>
      </c>
      <c r="G37">
        <f t="shared" si="4"/>
        <v>1.4180439530208413</v>
      </c>
      <c r="H37">
        <f t="shared" si="5"/>
        <v>0.34927842411815913</v>
      </c>
      <c r="I37">
        <f t="shared" si="6"/>
        <v>1.25</v>
      </c>
      <c r="J37">
        <f t="shared" si="7"/>
        <v>0.22314355131420976</v>
      </c>
      <c r="K37" s="4">
        <f t="shared" si="8"/>
        <v>1.5652633565302458</v>
      </c>
      <c r="L37" s="4">
        <f t="shared" si="9"/>
        <v>8149.1948887883973</v>
      </c>
      <c r="M37" s="20">
        <f t="shared" si="10"/>
        <v>8.2144561737616445E-2</v>
      </c>
      <c r="N37" s="8">
        <f t="shared" si="11"/>
        <v>99205.531278117924</v>
      </c>
      <c r="O37" s="5">
        <f>R17</f>
        <v>3882798</v>
      </c>
      <c r="P37" s="8">
        <f>O37*(K37/(1-K37))*POWER(L37,K37)*(POWER(N36,1-K37)-POWER(N37,1-K37))+P36</f>
        <v>13570548194.858618</v>
      </c>
      <c r="Q37" s="9">
        <f t="shared" si="12"/>
        <v>77655.960000000006</v>
      </c>
      <c r="R37" s="8">
        <f t="shared" si="13"/>
        <v>174752.17864615435</v>
      </c>
      <c r="S37" s="4">
        <f t="shared" si="14"/>
        <v>133948150239.54477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11</v>
      </c>
      <c r="B50">
        <v>0</v>
      </c>
      <c r="C50">
        <v>2208.5279999999998</v>
      </c>
      <c r="D50">
        <v>0</v>
      </c>
      <c r="E50">
        <v>1157.8593599999999</v>
      </c>
      <c r="F50">
        <v>0</v>
      </c>
      <c r="G50">
        <v>473.2056</v>
      </c>
      <c r="H50">
        <v>0</v>
      </c>
      <c r="I50">
        <v>199.02680000000001</v>
      </c>
      <c r="J50">
        <v>1</v>
      </c>
      <c r="K50">
        <v>82.424705999999986</v>
      </c>
      <c r="L50">
        <v>0</v>
      </c>
      <c r="M50">
        <v>29.486841999999999</v>
      </c>
      <c r="N50">
        <v>0</v>
      </c>
      <c r="O50">
        <v>10.5657692</v>
      </c>
      <c r="P50" s="3">
        <f>(B50*C50)+(D50*E50)+(F50*G50)+(H50*I50)+(J50*K50)+(L50*M50)+(N50*O50)</f>
        <v>82.424705999999986</v>
      </c>
      <c r="Q50" s="3"/>
    </row>
    <row r="51" spans="1:19" x14ac:dyDescent="0.2">
      <c r="A51">
        <v>10000</v>
      </c>
      <c r="B51">
        <v>5</v>
      </c>
      <c r="C51">
        <v>2208.5279999999998</v>
      </c>
      <c r="D51">
        <v>5</v>
      </c>
      <c r="E51">
        <v>1157.8593599999999</v>
      </c>
      <c r="F51">
        <v>13</v>
      </c>
      <c r="G51">
        <v>473.2056</v>
      </c>
      <c r="H51">
        <v>90</v>
      </c>
      <c r="I51">
        <v>199.02680000000001</v>
      </c>
      <c r="J51">
        <v>227</v>
      </c>
      <c r="K51">
        <v>82.424705999999986</v>
      </c>
      <c r="L51">
        <v>446</v>
      </c>
      <c r="M51">
        <v>29.486841999999999</v>
      </c>
      <c r="N51">
        <v>545</v>
      </c>
      <c r="O51">
        <v>10.5657692</v>
      </c>
      <c r="P51" s="3">
        <f t="shared" ref="P51:P65" si="15">(B51*C51)+(D51*E51)+(F51*G51)+(H51*I51)+(J51*K51)+(L51*M51)+(N51*O51)</f>
        <v>78515.905607999986</v>
      </c>
      <c r="Q51" s="3"/>
    </row>
    <row r="52" spans="1:19" x14ac:dyDescent="0.2">
      <c r="A52">
        <v>20000</v>
      </c>
      <c r="B52">
        <v>3</v>
      </c>
      <c r="C52">
        <v>2208.5279999999998</v>
      </c>
      <c r="D52">
        <v>15</v>
      </c>
      <c r="E52">
        <v>1157.8593599999999</v>
      </c>
      <c r="F52">
        <v>58</v>
      </c>
      <c r="G52">
        <v>473.2056</v>
      </c>
      <c r="H52">
        <v>131</v>
      </c>
      <c r="I52">
        <v>199.02680000000001</v>
      </c>
      <c r="J52">
        <v>296</v>
      </c>
      <c r="K52">
        <v>82.424705999999986</v>
      </c>
      <c r="L52">
        <v>490</v>
      </c>
      <c r="M52">
        <v>29.486841999999999</v>
      </c>
      <c r="N52">
        <v>533</v>
      </c>
      <c r="O52">
        <v>10.5657692</v>
      </c>
      <c r="P52" s="3">
        <f t="shared" si="15"/>
        <v>121989.7305396</v>
      </c>
      <c r="Q52" s="3"/>
    </row>
    <row r="53" spans="1:19" x14ac:dyDescent="0.2">
      <c r="A53">
        <v>30000</v>
      </c>
      <c r="B53">
        <v>1</v>
      </c>
      <c r="C53">
        <v>2208.5279999999998</v>
      </c>
      <c r="D53">
        <v>8</v>
      </c>
      <c r="E53">
        <v>1157.8593599999999</v>
      </c>
      <c r="F53">
        <v>25</v>
      </c>
      <c r="G53">
        <v>473.2056</v>
      </c>
      <c r="H53">
        <v>67</v>
      </c>
      <c r="I53">
        <v>199.02680000000001</v>
      </c>
      <c r="J53">
        <v>161</v>
      </c>
      <c r="K53">
        <v>82.424705999999986</v>
      </c>
      <c r="L53">
        <v>260</v>
      </c>
      <c r="M53">
        <v>29.486841999999999</v>
      </c>
      <c r="N53">
        <v>312</v>
      </c>
      <c r="O53">
        <v>10.5657692</v>
      </c>
      <c r="P53" s="3">
        <f t="shared" si="15"/>
        <v>60869.81505640001</v>
      </c>
      <c r="Q53" s="3">
        <f t="shared" ref="Q53:Q62" si="16">Q54+P53</f>
        <v>198455.71420360002</v>
      </c>
      <c r="R53">
        <v>3916570</v>
      </c>
      <c r="S53">
        <f>Q53/R53*100</f>
        <v>5.0670794650319033</v>
      </c>
    </row>
    <row r="54" spans="1:19" x14ac:dyDescent="0.2">
      <c r="A54">
        <v>40000</v>
      </c>
      <c r="B54">
        <v>2</v>
      </c>
      <c r="C54">
        <v>2208.5279999999998</v>
      </c>
      <c r="D54">
        <v>5</v>
      </c>
      <c r="E54">
        <v>1157.8593599999999</v>
      </c>
      <c r="F54">
        <v>13</v>
      </c>
      <c r="G54">
        <v>473.2056</v>
      </c>
      <c r="H54">
        <v>47</v>
      </c>
      <c r="I54">
        <v>199.02680000000001</v>
      </c>
      <c r="J54">
        <v>90</v>
      </c>
      <c r="K54">
        <v>82.424705999999986</v>
      </c>
      <c r="L54">
        <v>207</v>
      </c>
      <c r="M54">
        <v>29.486841999999999</v>
      </c>
      <c r="N54">
        <v>222</v>
      </c>
      <c r="O54">
        <v>10.5657692</v>
      </c>
      <c r="P54" s="3">
        <f t="shared" si="15"/>
        <v>41579.885796400005</v>
      </c>
      <c r="Q54" s="3">
        <f t="shared" si="16"/>
        <v>137585.89914719999</v>
      </c>
      <c r="R54">
        <v>3916570</v>
      </c>
      <c r="S54">
        <f>Q54/R54*100</f>
        <v>3.5129181693982234</v>
      </c>
    </row>
    <row r="55" spans="1:19" x14ac:dyDescent="0.2">
      <c r="A55">
        <v>50000</v>
      </c>
      <c r="B55">
        <v>1</v>
      </c>
      <c r="C55">
        <v>2208.5279999999998</v>
      </c>
      <c r="D55">
        <v>2</v>
      </c>
      <c r="E55">
        <v>1157.8593599999999</v>
      </c>
      <c r="F55">
        <v>8</v>
      </c>
      <c r="G55">
        <v>473.2056</v>
      </c>
      <c r="H55">
        <v>28</v>
      </c>
      <c r="I55">
        <v>199.02680000000001</v>
      </c>
      <c r="J55">
        <v>59</v>
      </c>
      <c r="K55">
        <v>82.424705999999986</v>
      </c>
      <c r="L55">
        <v>126</v>
      </c>
      <c r="M55">
        <v>29.486841999999999</v>
      </c>
      <c r="N55">
        <v>117</v>
      </c>
      <c r="O55">
        <v>10.5657692</v>
      </c>
      <c r="P55" s="3">
        <f t="shared" si="15"/>
        <v>23697.236662399999</v>
      </c>
      <c r="Q55" s="3">
        <f t="shared" si="16"/>
        <v>96006.013350799985</v>
      </c>
      <c r="R55">
        <v>3916570</v>
      </c>
      <c r="S55">
        <f>Q55/R55*100</f>
        <v>2.4512778617719073</v>
      </c>
    </row>
    <row r="56" spans="1:19" x14ac:dyDescent="0.2">
      <c r="A56">
        <v>60000</v>
      </c>
      <c r="B56">
        <v>1</v>
      </c>
      <c r="C56">
        <v>2208.5279999999998</v>
      </c>
      <c r="D56">
        <v>1</v>
      </c>
      <c r="E56">
        <v>1157.8593599999999</v>
      </c>
      <c r="F56">
        <v>9</v>
      </c>
      <c r="G56">
        <v>473.2056</v>
      </c>
      <c r="H56">
        <v>36</v>
      </c>
      <c r="I56">
        <v>199.02680000000001</v>
      </c>
      <c r="J56">
        <v>79</v>
      </c>
      <c r="K56">
        <v>82.424705999999986</v>
      </c>
      <c r="L56">
        <v>144</v>
      </c>
      <c r="M56">
        <v>29.486841999999999</v>
      </c>
      <c r="N56">
        <v>156</v>
      </c>
      <c r="O56">
        <v>10.5657692</v>
      </c>
      <c r="P56" s="3">
        <f t="shared" si="15"/>
        <v>27196.119577199999</v>
      </c>
      <c r="Q56" s="3">
        <f t="shared" si="16"/>
        <v>72308.776688399987</v>
      </c>
      <c r="R56">
        <v>3916570</v>
      </c>
      <c r="S56">
        <f>Q56/R56*100</f>
        <v>1.8462270989258456</v>
      </c>
    </row>
    <row r="57" spans="1:19" x14ac:dyDescent="0.2">
      <c r="A57">
        <v>80000</v>
      </c>
      <c r="B57">
        <v>0</v>
      </c>
      <c r="C57">
        <v>2208.5279999999998</v>
      </c>
      <c r="D57">
        <v>1</v>
      </c>
      <c r="E57">
        <v>1157.8593599999999</v>
      </c>
      <c r="F57">
        <v>12</v>
      </c>
      <c r="G57">
        <v>473.2056</v>
      </c>
      <c r="H57">
        <v>16</v>
      </c>
      <c r="I57">
        <v>199.02680000000001</v>
      </c>
      <c r="J57">
        <v>40</v>
      </c>
      <c r="K57">
        <v>82.424705999999986</v>
      </c>
      <c r="L57">
        <v>61</v>
      </c>
      <c r="M57">
        <v>29.486841999999999</v>
      </c>
      <c r="N57">
        <v>93</v>
      </c>
      <c r="O57">
        <v>10.5657692</v>
      </c>
      <c r="P57" s="3">
        <f t="shared" si="15"/>
        <v>16099.057497599997</v>
      </c>
      <c r="Q57" s="3">
        <f t="shared" si="16"/>
        <v>45112.657111199995</v>
      </c>
      <c r="R57">
        <v>3916570</v>
      </c>
      <c r="S57">
        <f t="shared" ref="S57:S63" si="17">Q57/R57*100</f>
        <v>1.1518409504030311</v>
      </c>
    </row>
    <row r="58" spans="1:19" x14ac:dyDescent="0.2">
      <c r="A58">
        <v>100000</v>
      </c>
      <c r="B58">
        <v>0</v>
      </c>
      <c r="C58">
        <v>2208.5279999999998</v>
      </c>
      <c r="D58">
        <v>1</v>
      </c>
      <c r="E58">
        <v>1157.8593599999999</v>
      </c>
      <c r="F58">
        <v>5</v>
      </c>
      <c r="G58">
        <v>473.2056</v>
      </c>
      <c r="H58">
        <v>6</v>
      </c>
      <c r="I58">
        <v>199.02680000000001</v>
      </c>
      <c r="J58">
        <v>31</v>
      </c>
      <c r="K58">
        <v>82.424705999999986</v>
      </c>
      <c r="L58">
        <v>54</v>
      </c>
      <c r="M58">
        <v>29.486841999999999</v>
      </c>
      <c r="N58">
        <v>55</v>
      </c>
      <c r="O58">
        <v>10.5657692</v>
      </c>
      <c r="P58" s="3">
        <f t="shared" si="15"/>
        <v>9446.6208200000001</v>
      </c>
      <c r="Q58" s="3">
        <f t="shared" si="16"/>
        <v>29013.599613599999</v>
      </c>
      <c r="R58">
        <v>3916570</v>
      </c>
      <c r="S58">
        <f t="shared" si="17"/>
        <v>0.74079103944522884</v>
      </c>
    </row>
    <row r="59" spans="1:19" x14ac:dyDescent="0.2">
      <c r="A59">
        <v>120000</v>
      </c>
      <c r="B59">
        <v>0</v>
      </c>
      <c r="C59">
        <v>2208.5279999999998</v>
      </c>
      <c r="D59">
        <v>0</v>
      </c>
      <c r="E59">
        <v>1157.8593599999999</v>
      </c>
      <c r="F59">
        <v>0</v>
      </c>
      <c r="G59">
        <v>473.2056</v>
      </c>
      <c r="H59">
        <v>13</v>
      </c>
      <c r="I59">
        <v>199.02680000000001</v>
      </c>
      <c r="J59">
        <v>16</v>
      </c>
      <c r="K59">
        <v>82.424705999999986</v>
      </c>
      <c r="L59">
        <v>21</v>
      </c>
      <c r="M59">
        <v>29.486841999999999</v>
      </c>
      <c r="N59">
        <v>45</v>
      </c>
      <c r="O59">
        <v>10.5657692</v>
      </c>
      <c r="P59" s="3">
        <f t="shared" si="15"/>
        <v>5000.8269920000002</v>
      </c>
      <c r="Q59" s="3">
        <f t="shared" si="16"/>
        <v>19566.978793599999</v>
      </c>
      <c r="R59">
        <v>3916570</v>
      </c>
      <c r="S59">
        <f t="shared" si="17"/>
        <v>0.49959476770745825</v>
      </c>
    </row>
    <row r="60" spans="1:19" x14ac:dyDescent="0.2">
      <c r="A60">
        <v>140000</v>
      </c>
      <c r="B60">
        <v>0</v>
      </c>
      <c r="C60">
        <v>2208.5279999999998</v>
      </c>
      <c r="D60">
        <v>0</v>
      </c>
      <c r="E60">
        <v>1157.8593599999999</v>
      </c>
      <c r="F60">
        <v>1</v>
      </c>
      <c r="G60">
        <v>473.2056</v>
      </c>
      <c r="H60">
        <v>12</v>
      </c>
      <c r="I60">
        <v>199.02680000000001</v>
      </c>
      <c r="J60">
        <v>11</v>
      </c>
      <c r="K60">
        <v>82.424705999999986</v>
      </c>
      <c r="L60">
        <v>49</v>
      </c>
      <c r="M60">
        <v>29.486841999999999</v>
      </c>
      <c r="N60">
        <v>62</v>
      </c>
      <c r="O60">
        <v>10.5657692</v>
      </c>
      <c r="P60" s="3">
        <f t="shared" si="15"/>
        <v>5868.1319144000008</v>
      </c>
      <c r="Q60" s="3">
        <f t="shared" si="16"/>
        <v>14566.151801600001</v>
      </c>
      <c r="R60">
        <v>3916570</v>
      </c>
      <c r="S60">
        <f t="shared" si="17"/>
        <v>0.3719109272041608</v>
      </c>
    </row>
    <row r="61" spans="1:19" x14ac:dyDescent="0.2">
      <c r="A61">
        <v>200000</v>
      </c>
      <c r="B61">
        <v>0</v>
      </c>
      <c r="C61">
        <v>2208.5279999999998</v>
      </c>
      <c r="D61">
        <v>0</v>
      </c>
      <c r="E61">
        <v>1157.8593599999999</v>
      </c>
      <c r="F61">
        <v>6</v>
      </c>
      <c r="G61">
        <v>473.2056</v>
      </c>
      <c r="H61">
        <v>4</v>
      </c>
      <c r="I61">
        <v>199.02680000000001</v>
      </c>
      <c r="J61">
        <v>15</v>
      </c>
      <c r="K61">
        <v>82.424705999999986</v>
      </c>
      <c r="L61">
        <v>27</v>
      </c>
      <c r="M61">
        <v>29.486841999999999</v>
      </c>
      <c r="N61">
        <v>37</v>
      </c>
      <c r="O61">
        <v>10.5657692</v>
      </c>
      <c r="P61" s="3">
        <f t="shared" si="15"/>
        <v>6058.7895843999995</v>
      </c>
      <c r="Q61" s="3">
        <f t="shared" si="16"/>
        <v>8698.0198872000001</v>
      </c>
      <c r="R61">
        <v>3916570</v>
      </c>
      <c r="S61">
        <f t="shared" si="17"/>
        <v>0.22208258469017533</v>
      </c>
    </row>
    <row r="62" spans="1:19" x14ac:dyDescent="0.2">
      <c r="A62">
        <v>350000</v>
      </c>
      <c r="B62">
        <v>0</v>
      </c>
      <c r="C62">
        <v>2208.5279999999998</v>
      </c>
      <c r="D62">
        <v>1</v>
      </c>
      <c r="E62">
        <v>1157.8593599999999</v>
      </c>
      <c r="F62">
        <v>0</v>
      </c>
      <c r="G62">
        <v>473.2056</v>
      </c>
      <c r="H62">
        <v>3</v>
      </c>
      <c r="I62">
        <v>199.02680000000001</v>
      </c>
      <c r="J62">
        <v>1</v>
      </c>
      <c r="K62">
        <v>82.424705999999986</v>
      </c>
      <c r="L62">
        <v>7</v>
      </c>
      <c r="M62">
        <v>29.486841999999999</v>
      </c>
      <c r="N62">
        <v>12</v>
      </c>
      <c r="O62">
        <v>10.5657692</v>
      </c>
      <c r="P62" s="3">
        <f t="shared" si="15"/>
        <v>2170.5615904000001</v>
      </c>
      <c r="Q62" s="3">
        <f t="shared" si="16"/>
        <v>2639.2303028000001</v>
      </c>
      <c r="R62">
        <v>3916570</v>
      </c>
      <c r="S62">
        <f t="shared" si="17"/>
        <v>6.7386266626155031E-2</v>
      </c>
    </row>
    <row r="63" spans="1:19" x14ac:dyDescent="0.2">
      <c r="A63">
        <v>500000</v>
      </c>
      <c r="B63">
        <v>0</v>
      </c>
      <c r="C63">
        <v>2208.5279999999998</v>
      </c>
      <c r="D63">
        <v>0</v>
      </c>
      <c r="E63">
        <v>1157.8593599999999</v>
      </c>
      <c r="F63">
        <v>0</v>
      </c>
      <c r="G63">
        <v>473.2056</v>
      </c>
      <c r="H63">
        <v>0</v>
      </c>
      <c r="I63">
        <v>199.02680000000001</v>
      </c>
      <c r="J63">
        <v>2</v>
      </c>
      <c r="K63">
        <v>82.424705999999986</v>
      </c>
      <c r="L63">
        <v>4</v>
      </c>
      <c r="M63">
        <v>29.486841999999999</v>
      </c>
      <c r="N63">
        <v>6</v>
      </c>
      <c r="O63">
        <v>10.5657692</v>
      </c>
      <c r="P63" s="3">
        <f t="shared" si="15"/>
        <v>346.19139519999999</v>
      </c>
      <c r="Q63" s="3">
        <f>P64+P63</f>
        <v>468.6687124</v>
      </c>
      <c r="R63">
        <v>3916570</v>
      </c>
      <c r="S63">
        <f t="shared" si="17"/>
        <v>1.1966305016889778E-2</v>
      </c>
    </row>
    <row r="64" spans="1:19" x14ac:dyDescent="0.2">
      <c r="A64" t="s">
        <v>12</v>
      </c>
      <c r="B64">
        <v>0</v>
      </c>
      <c r="C64">
        <v>2208.5279999999998</v>
      </c>
      <c r="D64">
        <v>0</v>
      </c>
      <c r="E64">
        <v>1157.8593599999999</v>
      </c>
      <c r="F64">
        <v>0</v>
      </c>
      <c r="G64">
        <v>473.2056</v>
      </c>
      <c r="H64">
        <v>0</v>
      </c>
      <c r="I64">
        <v>199.02680000000001</v>
      </c>
      <c r="J64">
        <v>1</v>
      </c>
      <c r="K64">
        <v>82.424705999999986</v>
      </c>
      <c r="L64">
        <v>1</v>
      </c>
      <c r="M64">
        <v>29.486841999999999</v>
      </c>
      <c r="N64">
        <v>1</v>
      </c>
      <c r="O64">
        <v>10.5657692</v>
      </c>
      <c r="P64" s="3">
        <f t="shared" si="15"/>
        <v>122.47731719999999</v>
      </c>
      <c r="Q64" s="3">
        <f>P64</f>
        <v>122.47731719999999</v>
      </c>
      <c r="R64">
        <v>3916570</v>
      </c>
      <c r="S64">
        <f>Q64/R64*100</f>
        <v>3.1271576200604095E-3</v>
      </c>
    </row>
    <row r="65" spans="1:19" x14ac:dyDescent="0.2">
      <c r="A65" t="s">
        <v>3</v>
      </c>
      <c r="B65">
        <v>13</v>
      </c>
      <c r="C65">
        <v>2208.5279999999998</v>
      </c>
      <c r="D65">
        <v>39</v>
      </c>
      <c r="E65">
        <v>1157.8593599999999</v>
      </c>
      <c r="F65">
        <v>150</v>
      </c>
      <c r="G65">
        <v>473.2056</v>
      </c>
      <c r="H65">
        <v>453</v>
      </c>
      <c r="I65">
        <v>199.02680000000001</v>
      </c>
      <c r="J65">
        <v>1030</v>
      </c>
      <c r="K65">
        <v>82.424705999999986</v>
      </c>
      <c r="L65">
        <v>1897</v>
      </c>
      <c r="M65">
        <v>29.486841999999999</v>
      </c>
      <c r="N65">
        <v>2196</v>
      </c>
      <c r="O65">
        <v>10.5657692</v>
      </c>
      <c r="P65" s="3">
        <f t="shared" si="15"/>
        <v>399043.77505719999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75</v>
      </c>
      <c r="B73" s="14">
        <v>5.0000000000000001E-4</v>
      </c>
      <c r="C73" s="4">
        <f>S63/100</f>
        <v>1.1966305016889777E-4</v>
      </c>
      <c r="D73" s="5">
        <f>S62/100</f>
        <v>6.7386266626155028E-4</v>
      </c>
      <c r="E73" s="5">
        <v>500000</v>
      </c>
      <c r="F73" s="5">
        <v>350000</v>
      </c>
      <c r="G73" s="5">
        <f t="shared" ref="G73:G78" si="18">D73/C73</f>
        <v>5.6313345289998074</v>
      </c>
      <c r="H73" s="5">
        <f t="shared" ref="H73:H78" si="19">LN(G73)</f>
        <v>1.7283464529610404</v>
      </c>
      <c r="I73" s="5">
        <f t="shared" ref="I73:I78" si="20">E73/F73</f>
        <v>1.4285714285714286</v>
      </c>
      <c r="J73" s="5">
        <f t="shared" ref="J73:J78" si="21">LN(I73)</f>
        <v>0.35667494393873239</v>
      </c>
      <c r="K73" s="4">
        <v>1.9234801750286095</v>
      </c>
      <c r="L73" s="4">
        <v>4811.8027558538124</v>
      </c>
      <c r="M73" s="7">
        <f t="shared" ref="M73:M78" si="22">POWER(B73,1/K73)</f>
        <v>1.9223137344769516E-2</v>
      </c>
      <c r="N73" s="8">
        <f t="shared" ref="N73:N78" si="23">L73/M73</f>
        <v>250313.08207154181</v>
      </c>
      <c r="O73">
        <f t="shared" ref="O73:O78" si="24">R54</f>
        <v>3916570</v>
      </c>
      <c r="P73" s="8">
        <f>O73*(K73/(1-K73))*POWER(L73,K73)*(-1)*POWER(N73,1-K73)</f>
        <v>1020985520.1858718</v>
      </c>
      <c r="Q73" s="9">
        <f t="shared" ref="Q73:Q78" si="25">B73*O73</f>
        <v>1958.2850000000001</v>
      </c>
      <c r="R73" s="4">
        <f t="shared" ref="R73:R78" si="26">P73/Q73</f>
        <v>521367.17596563924</v>
      </c>
      <c r="S73" s="3">
        <f t="shared" ref="S73:S78" si="27">8.0248*P73*1.23</f>
        <v>10077641660.936729</v>
      </c>
    </row>
    <row r="74" spans="1:19" x14ac:dyDescent="0.2">
      <c r="A74" t="s">
        <v>76</v>
      </c>
      <c r="B74" s="14">
        <v>1E-3</v>
      </c>
      <c r="C74" s="5">
        <f>S62/100</f>
        <v>6.7386266626155028E-4</v>
      </c>
      <c r="D74" s="5">
        <f>S61/100</f>
        <v>2.2208258469017532E-3</v>
      </c>
      <c r="E74" s="5">
        <v>350000</v>
      </c>
      <c r="F74" s="5">
        <v>200000</v>
      </c>
      <c r="G74" s="5">
        <f t="shared" si="18"/>
        <v>3.2956653604545751</v>
      </c>
      <c r="H74" s="5">
        <f t="shared" si="19"/>
        <v>1.1926080779045123</v>
      </c>
      <c r="I74" s="5">
        <f t="shared" si="20"/>
        <v>1.75</v>
      </c>
      <c r="J74" s="5">
        <f t="shared" si="21"/>
        <v>0.55961578793542266</v>
      </c>
      <c r="K74" s="4">
        <v>1.9234801750286095</v>
      </c>
      <c r="L74" s="4">
        <v>4811.8027558538124</v>
      </c>
      <c r="M74" s="7">
        <f t="shared" si="22"/>
        <v>2.7563035814321329E-2</v>
      </c>
      <c r="N74" s="8">
        <f t="shared" si="23"/>
        <v>174574.48403973243</v>
      </c>
      <c r="O74">
        <f t="shared" si="24"/>
        <v>3916570</v>
      </c>
      <c r="P74" s="8">
        <f>O74*(K74/(1-K74))*POWER(L74,K74)*(POWER(N73,1-K74)-POWER(N74,1-K74))+P73</f>
        <v>1424120696.5566771</v>
      </c>
      <c r="Q74" s="9">
        <f t="shared" si="25"/>
        <v>3916.57</v>
      </c>
      <c r="R74" s="4">
        <f t="shared" si="26"/>
        <v>363614.25853659632</v>
      </c>
      <c r="S74" s="3">
        <f t="shared" si="27"/>
        <v>14056789031.845469</v>
      </c>
    </row>
    <row r="75" spans="1:19" x14ac:dyDescent="0.2">
      <c r="A75" t="s">
        <v>70</v>
      </c>
      <c r="B75" s="14">
        <v>2.5000000000000001E-3</v>
      </c>
      <c r="C75" s="5">
        <f>S61/100</f>
        <v>2.2208258469017532E-3</v>
      </c>
      <c r="D75" s="5">
        <f>S60/100</f>
        <v>3.7191092720416079E-3</v>
      </c>
      <c r="E75" s="5">
        <v>200000</v>
      </c>
      <c r="F75" s="5">
        <v>140000</v>
      </c>
      <c r="G75" s="5">
        <f t="shared" si="18"/>
        <v>1.6746514713119407</v>
      </c>
      <c r="H75" s="5">
        <f t="shared" si="19"/>
        <v>0.51560506679735085</v>
      </c>
      <c r="I75" s="5">
        <f t="shared" si="20"/>
        <v>1.4285714285714286</v>
      </c>
      <c r="J75" s="5">
        <f t="shared" si="21"/>
        <v>0.35667494393873239</v>
      </c>
      <c r="K75" s="4">
        <f>H75/J75</f>
        <v>1.4455881344048618</v>
      </c>
      <c r="L75" s="4">
        <f>F75*(D75^(1/K75))</f>
        <v>2920.4848408033354</v>
      </c>
      <c r="M75" s="7">
        <f t="shared" si="22"/>
        <v>1.5848897859398896E-2</v>
      </c>
      <c r="N75" s="8">
        <f t="shared" si="23"/>
        <v>184270.53204027028</v>
      </c>
      <c r="O75">
        <f t="shared" si="24"/>
        <v>3916570</v>
      </c>
      <c r="P75" s="8">
        <f>O75*(K75/(1-K75))*POWER(L75,K75)*(POWER(N74,1-K75)-POWER(N75,1-K75))+P74</f>
        <v>1281425110.2891061</v>
      </c>
      <c r="Q75" s="9">
        <f t="shared" si="25"/>
        <v>9791.4250000000011</v>
      </c>
      <c r="R75" s="4">
        <f t="shared" si="26"/>
        <v>130872.17747050159</v>
      </c>
      <c r="S75" s="3">
        <f t="shared" si="27"/>
        <v>12648311676.809063</v>
      </c>
    </row>
    <row r="76" spans="1:19" x14ac:dyDescent="0.2">
      <c r="A76" t="s">
        <v>71</v>
      </c>
      <c r="B76" s="14">
        <v>5.0000000000000001E-3</v>
      </c>
      <c r="C76" s="5">
        <f>S59/100</f>
        <v>4.9959476770745827E-3</v>
      </c>
      <c r="D76" s="5">
        <f>S58/100</f>
        <v>7.4079103944522887E-3</v>
      </c>
      <c r="E76" s="5">
        <v>120000</v>
      </c>
      <c r="F76" s="5">
        <v>100000</v>
      </c>
      <c r="G76" s="5">
        <f t="shared" si="18"/>
        <v>1.4827838226660632</v>
      </c>
      <c r="H76" s="5">
        <f t="shared" si="19"/>
        <v>0.39392128224441003</v>
      </c>
      <c r="I76" s="5">
        <f t="shared" si="20"/>
        <v>1.2</v>
      </c>
      <c r="J76" s="5">
        <f t="shared" si="21"/>
        <v>0.18232155679395459</v>
      </c>
      <c r="K76" s="4">
        <f>H76/J76</f>
        <v>2.1605853370898358</v>
      </c>
      <c r="L76" s="4">
        <f>F76*(D76^(1/K76))</f>
        <v>10327.975765112202</v>
      </c>
      <c r="M76" s="7">
        <f t="shared" si="22"/>
        <v>8.6098768547141269E-2</v>
      </c>
      <c r="N76" s="8">
        <f t="shared" si="23"/>
        <v>119954.97658549405</v>
      </c>
      <c r="O76">
        <f t="shared" si="24"/>
        <v>3916570</v>
      </c>
      <c r="P76" s="8">
        <f>O76*(K76/(1-K76))*POWER(L76,K76)*(POWER(N75,1-K76)-POWER(N76,1-K76))+P75</f>
        <v>2997392560.1632667</v>
      </c>
      <c r="Q76" s="9">
        <f t="shared" si="25"/>
        <v>19582.850000000002</v>
      </c>
      <c r="R76" s="4">
        <f t="shared" si="26"/>
        <v>153062.12120111557</v>
      </c>
      <c r="S76" s="3">
        <f t="shared" si="27"/>
        <v>29585775254.661766</v>
      </c>
    </row>
    <row r="77" spans="1:19" x14ac:dyDescent="0.2">
      <c r="A77" t="s">
        <v>74</v>
      </c>
      <c r="B77" s="14">
        <v>0.01</v>
      </c>
      <c r="C77" s="5">
        <f>S58/100</f>
        <v>7.4079103944522887E-3</v>
      </c>
      <c r="D77" s="5">
        <f>S57/100</f>
        <v>1.1518409504030311E-2</v>
      </c>
      <c r="E77" s="5">
        <v>100000</v>
      </c>
      <c r="F77" s="5">
        <v>80000</v>
      </c>
      <c r="G77" s="5">
        <f t="shared" si="18"/>
        <v>1.5548797016573439</v>
      </c>
      <c r="H77" s="5">
        <f t="shared" si="19"/>
        <v>0.44139818036034661</v>
      </c>
      <c r="I77" s="5">
        <f t="shared" si="20"/>
        <v>1.25</v>
      </c>
      <c r="J77" s="5">
        <f t="shared" si="21"/>
        <v>0.22314355131420976</v>
      </c>
      <c r="K77" s="4">
        <f>H77/J77</f>
        <v>1.9780906853938665</v>
      </c>
      <c r="L77" s="4">
        <f>F77*(D77^(1/K77))</f>
        <v>8376.2618385833339</v>
      </c>
      <c r="M77" s="7">
        <f t="shared" si="22"/>
        <v>9.7481905313034925E-2</v>
      </c>
      <c r="N77" s="8">
        <f t="shared" si="23"/>
        <v>85926.324600297798</v>
      </c>
      <c r="O77">
        <f t="shared" si="24"/>
        <v>3916570</v>
      </c>
      <c r="P77" s="8">
        <f>O77*(K77/(1-K77))*POWER(L77,K77)*(POWER(N76,1-K77)-POWER(N77,1-K77))+P76</f>
        <v>4892373784.9674711</v>
      </c>
      <c r="Q77" s="9">
        <f t="shared" si="25"/>
        <v>39165.700000000004</v>
      </c>
      <c r="R77" s="4">
        <f t="shared" si="26"/>
        <v>124914.75410799426</v>
      </c>
      <c r="S77" s="3">
        <f t="shared" si="27"/>
        <v>48290195014.016563</v>
      </c>
    </row>
    <row r="78" spans="1:19" x14ac:dyDescent="0.2">
      <c r="A78" t="s">
        <v>45</v>
      </c>
      <c r="B78" s="14">
        <v>0.02</v>
      </c>
      <c r="C78" s="5">
        <f>S56/100</f>
        <v>1.8462270989258456E-2</v>
      </c>
      <c r="D78" s="5">
        <f>S55/100</f>
        <v>2.4512778617719073E-2</v>
      </c>
      <c r="E78" s="5">
        <v>60000</v>
      </c>
      <c r="F78" s="5">
        <v>50000</v>
      </c>
      <c r="G78" s="5">
        <f t="shared" si="18"/>
        <v>1.3277228262969851</v>
      </c>
      <c r="H78" s="5">
        <f t="shared" si="19"/>
        <v>0.28346531413239417</v>
      </c>
      <c r="I78" s="5">
        <f t="shared" si="20"/>
        <v>1.2</v>
      </c>
      <c r="J78" s="5">
        <f t="shared" si="21"/>
        <v>0.18232155679395459</v>
      </c>
      <c r="K78" s="4">
        <f>H78/J78</f>
        <v>1.5547547921211766</v>
      </c>
      <c r="L78" s="4">
        <f>F78*(D78^(1/K78))</f>
        <v>4603.0556668817271</v>
      </c>
      <c r="M78" s="7">
        <f t="shared" si="22"/>
        <v>8.0768584416449435E-2</v>
      </c>
      <c r="N78" s="8">
        <f t="shared" si="23"/>
        <v>56990.669084256762</v>
      </c>
      <c r="O78">
        <f t="shared" si="24"/>
        <v>3916570</v>
      </c>
      <c r="P78" s="8">
        <f>O78*(K78/(1-K78))*POWER(L78,K78)*(POWER(N77,1-K78)-POWER(N78,1-K78))+P77</f>
        <v>7440959242.1476078</v>
      </c>
      <c r="Q78" s="9">
        <f t="shared" si="25"/>
        <v>78331.400000000009</v>
      </c>
      <c r="R78" s="4">
        <f t="shared" si="26"/>
        <v>94993.313564516997</v>
      </c>
      <c r="S78" s="3">
        <f t="shared" si="27"/>
        <v>73446017963.454941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28">S32+S73</f>
        <v>23708213159.614319</v>
      </c>
      <c r="C85">
        <f t="shared" ref="C85:C90" si="29">1298650000000*1.23</f>
        <v>1597339500000</v>
      </c>
      <c r="F85" s="10">
        <f t="shared" ref="F85:F90" si="30">B85/C85*100</f>
        <v>1.4842313208691276</v>
      </c>
    </row>
    <row r="86" spans="1:7" ht="15" x14ac:dyDescent="0.25">
      <c r="A86" s="18">
        <v>1E-3</v>
      </c>
      <c r="B86" s="3">
        <f t="shared" si="28"/>
        <v>36090108487.451691</v>
      </c>
      <c r="C86">
        <f t="shared" si="29"/>
        <v>1597339500000</v>
      </c>
      <c r="F86" s="10">
        <f t="shared" si="30"/>
        <v>2.2593887202721583</v>
      </c>
    </row>
    <row r="87" spans="1:7" ht="15" x14ac:dyDescent="0.25">
      <c r="A87" s="18">
        <v>2.5000000000000001E-3</v>
      </c>
      <c r="B87" s="3">
        <f t="shared" si="28"/>
        <v>52216152552.40271</v>
      </c>
      <c r="C87">
        <f t="shared" si="29"/>
        <v>1597339500000</v>
      </c>
      <c r="F87" s="10">
        <f t="shared" si="30"/>
        <v>3.2689451774280114</v>
      </c>
    </row>
    <row r="88" spans="1:7" ht="15" x14ac:dyDescent="0.25">
      <c r="A88" s="18">
        <v>5.0000000000000001E-3</v>
      </c>
      <c r="B88" s="3">
        <f t="shared" si="28"/>
        <v>92455522200.281448</v>
      </c>
      <c r="C88">
        <f t="shared" si="29"/>
        <v>1597339500000</v>
      </c>
      <c r="F88" s="10">
        <f t="shared" si="30"/>
        <v>5.7880946536588773</v>
      </c>
    </row>
    <row r="89" spans="1:7" ht="15" x14ac:dyDescent="0.25">
      <c r="A89" s="19">
        <v>0.01</v>
      </c>
      <c r="B89" s="3">
        <f t="shared" si="28"/>
        <v>142524157433.2504</v>
      </c>
      <c r="C89">
        <f t="shared" si="29"/>
        <v>1597339500000</v>
      </c>
      <c r="F89" s="10">
        <f t="shared" si="30"/>
        <v>8.9225964444784847</v>
      </c>
    </row>
    <row r="90" spans="1:7" ht="15" x14ac:dyDescent="0.25">
      <c r="A90" s="19">
        <v>0.02</v>
      </c>
      <c r="B90" s="3">
        <f t="shared" si="28"/>
        <v>207394168202.99969</v>
      </c>
      <c r="C90">
        <f t="shared" si="29"/>
        <v>1597339500000</v>
      </c>
      <c r="F90" s="10">
        <f t="shared" si="30"/>
        <v>12.983725012935555</v>
      </c>
    </row>
  </sheetData>
  <pageMargins left="0.7" right="0.7" top="0.75" bottom="0.75" header="0.3" footer="0.3"/>
  <pageSetup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0"/>
  <sheetViews>
    <sheetView topLeftCell="A68" zoomScaleNormal="100" workbookViewId="0">
      <selection activeCell="F85" sqref="F85:F90"/>
    </sheetView>
  </sheetViews>
  <sheetFormatPr defaultRowHeight="12.75" x14ac:dyDescent="0.2"/>
  <cols>
    <col min="1" max="1" width="14.28515625" customWidth="1"/>
    <col min="2" max="2" width="14.5703125" customWidth="1"/>
    <col min="3" max="3" width="13.85546875" customWidth="1"/>
    <col min="5" max="5" width="14.42578125" customWidth="1"/>
    <col min="7" max="7" width="13.140625" customWidth="1"/>
    <col min="9" max="9" width="15.5703125" customWidth="1"/>
    <col min="11" max="11" width="14.7109375" customWidth="1"/>
    <col min="13" max="13" width="12.7109375" customWidth="1"/>
    <col min="14" max="14" width="14.140625" customWidth="1"/>
    <col min="15" max="15" width="11.7109375" customWidth="1"/>
    <col min="16" max="16" width="14.42578125" customWidth="1"/>
    <col min="17" max="17" width="22.42578125" customWidth="1"/>
    <col min="18" max="18" width="12.85546875" customWidth="1"/>
    <col min="19" max="19" width="12.28515625" bestFit="1" customWidth="1"/>
    <col min="257" max="257" width="14.28515625" customWidth="1"/>
    <col min="258" max="258" width="14.5703125" customWidth="1"/>
    <col min="259" max="259" width="13.85546875" customWidth="1"/>
    <col min="261" max="261" width="14.42578125" customWidth="1"/>
    <col min="263" max="263" width="13.140625" customWidth="1"/>
    <col min="265" max="265" width="15.5703125" customWidth="1"/>
    <col min="267" max="267" width="14.7109375" customWidth="1"/>
    <col min="269" max="269" width="12.7109375" customWidth="1"/>
    <col min="270" max="270" width="14.140625" customWidth="1"/>
    <col min="271" max="271" width="11.7109375" customWidth="1"/>
    <col min="272" max="272" width="14.42578125" customWidth="1"/>
    <col min="273" max="273" width="22.42578125" customWidth="1"/>
    <col min="274" max="274" width="12.85546875" customWidth="1"/>
    <col min="275" max="275" width="12" bestFit="1" customWidth="1"/>
    <col min="513" max="513" width="14.28515625" customWidth="1"/>
    <col min="514" max="514" width="14.5703125" customWidth="1"/>
    <col min="515" max="515" width="13.85546875" customWidth="1"/>
    <col min="517" max="517" width="14.42578125" customWidth="1"/>
    <col min="519" max="519" width="13.140625" customWidth="1"/>
    <col min="521" max="521" width="15.5703125" customWidth="1"/>
    <col min="523" max="523" width="14.7109375" customWidth="1"/>
    <col min="525" max="525" width="12.7109375" customWidth="1"/>
    <col min="526" max="526" width="14.140625" customWidth="1"/>
    <col min="527" max="527" width="11.7109375" customWidth="1"/>
    <col min="528" max="528" width="14.42578125" customWidth="1"/>
    <col min="529" max="529" width="22.42578125" customWidth="1"/>
    <col min="530" max="530" width="12.85546875" customWidth="1"/>
    <col min="531" max="531" width="12" bestFit="1" customWidth="1"/>
    <col min="769" max="769" width="14.28515625" customWidth="1"/>
    <col min="770" max="770" width="14.5703125" customWidth="1"/>
    <col min="771" max="771" width="13.85546875" customWidth="1"/>
    <col min="773" max="773" width="14.42578125" customWidth="1"/>
    <col min="775" max="775" width="13.140625" customWidth="1"/>
    <col min="777" max="777" width="15.5703125" customWidth="1"/>
    <col min="779" max="779" width="14.7109375" customWidth="1"/>
    <col min="781" max="781" width="12.7109375" customWidth="1"/>
    <col min="782" max="782" width="14.140625" customWidth="1"/>
    <col min="783" max="783" width="11.7109375" customWidth="1"/>
    <col min="784" max="784" width="14.42578125" customWidth="1"/>
    <col min="785" max="785" width="22.42578125" customWidth="1"/>
    <col min="786" max="786" width="12.85546875" customWidth="1"/>
    <col min="787" max="787" width="12" bestFit="1" customWidth="1"/>
    <col min="1025" max="1025" width="14.28515625" customWidth="1"/>
    <col min="1026" max="1026" width="14.5703125" customWidth="1"/>
    <col min="1027" max="1027" width="13.85546875" customWidth="1"/>
    <col min="1029" max="1029" width="14.42578125" customWidth="1"/>
    <col min="1031" max="1031" width="13.140625" customWidth="1"/>
    <col min="1033" max="1033" width="15.5703125" customWidth="1"/>
    <col min="1035" max="1035" width="14.7109375" customWidth="1"/>
    <col min="1037" max="1037" width="12.7109375" customWidth="1"/>
    <col min="1038" max="1038" width="14.140625" customWidth="1"/>
    <col min="1039" max="1039" width="11.7109375" customWidth="1"/>
    <col min="1040" max="1040" width="14.42578125" customWidth="1"/>
    <col min="1041" max="1041" width="22.42578125" customWidth="1"/>
    <col min="1042" max="1042" width="12.85546875" customWidth="1"/>
    <col min="1043" max="1043" width="12" bestFit="1" customWidth="1"/>
    <col min="1281" max="1281" width="14.28515625" customWidth="1"/>
    <col min="1282" max="1282" width="14.5703125" customWidth="1"/>
    <col min="1283" max="1283" width="13.85546875" customWidth="1"/>
    <col min="1285" max="1285" width="14.42578125" customWidth="1"/>
    <col min="1287" max="1287" width="13.140625" customWidth="1"/>
    <col min="1289" max="1289" width="15.5703125" customWidth="1"/>
    <col min="1291" max="1291" width="14.7109375" customWidth="1"/>
    <col min="1293" max="1293" width="12.7109375" customWidth="1"/>
    <col min="1294" max="1294" width="14.140625" customWidth="1"/>
    <col min="1295" max="1295" width="11.7109375" customWidth="1"/>
    <col min="1296" max="1296" width="14.42578125" customWidth="1"/>
    <col min="1297" max="1297" width="22.42578125" customWidth="1"/>
    <col min="1298" max="1298" width="12.85546875" customWidth="1"/>
    <col min="1299" max="1299" width="12" bestFit="1" customWidth="1"/>
    <col min="1537" max="1537" width="14.28515625" customWidth="1"/>
    <col min="1538" max="1538" width="14.5703125" customWidth="1"/>
    <col min="1539" max="1539" width="13.85546875" customWidth="1"/>
    <col min="1541" max="1541" width="14.42578125" customWidth="1"/>
    <col min="1543" max="1543" width="13.140625" customWidth="1"/>
    <col min="1545" max="1545" width="15.5703125" customWidth="1"/>
    <col min="1547" max="1547" width="14.7109375" customWidth="1"/>
    <col min="1549" max="1549" width="12.7109375" customWidth="1"/>
    <col min="1550" max="1550" width="14.140625" customWidth="1"/>
    <col min="1551" max="1551" width="11.7109375" customWidth="1"/>
    <col min="1552" max="1552" width="14.42578125" customWidth="1"/>
    <col min="1553" max="1553" width="22.42578125" customWidth="1"/>
    <col min="1554" max="1554" width="12.85546875" customWidth="1"/>
    <col min="1555" max="1555" width="12" bestFit="1" customWidth="1"/>
    <col min="1793" max="1793" width="14.28515625" customWidth="1"/>
    <col min="1794" max="1794" width="14.5703125" customWidth="1"/>
    <col min="1795" max="1795" width="13.85546875" customWidth="1"/>
    <col min="1797" max="1797" width="14.42578125" customWidth="1"/>
    <col min="1799" max="1799" width="13.140625" customWidth="1"/>
    <col min="1801" max="1801" width="15.5703125" customWidth="1"/>
    <col min="1803" max="1803" width="14.7109375" customWidth="1"/>
    <col min="1805" max="1805" width="12.7109375" customWidth="1"/>
    <col min="1806" max="1806" width="14.140625" customWidth="1"/>
    <col min="1807" max="1807" width="11.7109375" customWidth="1"/>
    <col min="1808" max="1808" width="14.42578125" customWidth="1"/>
    <col min="1809" max="1809" width="22.42578125" customWidth="1"/>
    <col min="1810" max="1810" width="12.85546875" customWidth="1"/>
    <col min="1811" max="1811" width="12" bestFit="1" customWidth="1"/>
    <col min="2049" max="2049" width="14.28515625" customWidth="1"/>
    <col min="2050" max="2050" width="14.5703125" customWidth="1"/>
    <col min="2051" max="2051" width="13.85546875" customWidth="1"/>
    <col min="2053" max="2053" width="14.42578125" customWidth="1"/>
    <col min="2055" max="2055" width="13.140625" customWidth="1"/>
    <col min="2057" max="2057" width="15.5703125" customWidth="1"/>
    <col min="2059" max="2059" width="14.7109375" customWidth="1"/>
    <col min="2061" max="2061" width="12.7109375" customWidth="1"/>
    <col min="2062" max="2062" width="14.140625" customWidth="1"/>
    <col min="2063" max="2063" width="11.7109375" customWidth="1"/>
    <col min="2064" max="2064" width="14.42578125" customWidth="1"/>
    <col min="2065" max="2065" width="22.42578125" customWidth="1"/>
    <col min="2066" max="2066" width="12.85546875" customWidth="1"/>
    <col min="2067" max="2067" width="12" bestFit="1" customWidth="1"/>
    <col min="2305" max="2305" width="14.28515625" customWidth="1"/>
    <col min="2306" max="2306" width="14.5703125" customWidth="1"/>
    <col min="2307" max="2307" width="13.85546875" customWidth="1"/>
    <col min="2309" max="2309" width="14.42578125" customWidth="1"/>
    <col min="2311" max="2311" width="13.140625" customWidth="1"/>
    <col min="2313" max="2313" width="15.5703125" customWidth="1"/>
    <col min="2315" max="2315" width="14.7109375" customWidth="1"/>
    <col min="2317" max="2317" width="12.7109375" customWidth="1"/>
    <col min="2318" max="2318" width="14.140625" customWidth="1"/>
    <col min="2319" max="2319" width="11.7109375" customWidth="1"/>
    <col min="2320" max="2320" width="14.42578125" customWidth="1"/>
    <col min="2321" max="2321" width="22.42578125" customWidth="1"/>
    <col min="2322" max="2322" width="12.85546875" customWidth="1"/>
    <col min="2323" max="2323" width="12" bestFit="1" customWidth="1"/>
    <col min="2561" max="2561" width="14.28515625" customWidth="1"/>
    <col min="2562" max="2562" width="14.5703125" customWidth="1"/>
    <col min="2563" max="2563" width="13.85546875" customWidth="1"/>
    <col min="2565" max="2565" width="14.42578125" customWidth="1"/>
    <col min="2567" max="2567" width="13.140625" customWidth="1"/>
    <col min="2569" max="2569" width="15.5703125" customWidth="1"/>
    <col min="2571" max="2571" width="14.7109375" customWidth="1"/>
    <col min="2573" max="2573" width="12.7109375" customWidth="1"/>
    <col min="2574" max="2574" width="14.140625" customWidth="1"/>
    <col min="2575" max="2575" width="11.7109375" customWidth="1"/>
    <col min="2576" max="2576" width="14.42578125" customWidth="1"/>
    <col min="2577" max="2577" width="22.42578125" customWidth="1"/>
    <col min="2578" max="2578" width="12.85546875" customWidth="1"/>
    <col min="2579" max="2579" width="12" bestFit="1" customWidth="1"/>
    <col min="2817" max="2817" width="14.28515625" customWidth="1"/>
    <col min="2818" max="2818" width="14.5703125" customWidth="1"/>
    <col min="2819" max="2819" width="13.85546875" customWidth="1"/>
    <col min="2821" max="2821" width="14.42578125" customWidth="1"/>
    <col min="2823" max="2823" width="13.140625" customWidth="1"/>
    <col min="2825" max="2825" width="15.5703125" customWidth="1"/>
    <col min="2827" max="2827" width="14.7109375" customWidth="1"/>
    <col min="2829" max="2829" width="12.7109375" customWidth="1"/>
    <col min="2830" max="2830" width="14.140625" customWidth="1"/>
    <col min="2831" max="2831" width="11.7109375" customWidth="1"/>
    <col min="2832" max="2832" width="14.42578125" customWidth="1"/>
    <col min="2833" max="2833" width="22.42578125" customWidth="1"/>
    <col min="2834" max="2834" width="12.85546875" customWidth="1"/>
    <col min="2835" max="2835" width="12" bestFit="1" customWidth="1"/>
    <col min="3073" max="3073" width="14.28515625" customWidth="1"/>
    <col min="3074" max="3074" width="14.5703125" customWidth="1"/>
    <col min="3075" max="3075" width="13.85546875" customWidth="1"/>
    <col min="3077" max="3077" width="14.42578125" customWidth="1"/>
    <col min="3079" max="3079" width="13.140625" customWidth="1"/>
    <col min="3081" max="3081" width="15.5703125" customWidth="1"/>
    <col min="3083" max="3083" width="14.7109375" customWidth="1"/>
    <col min="3085" max="3085" width="12.7109375" customWidth="1"/>
    <col min="3086" max="3086" width="14.140625" customWidth="1"/>
    <col min="3087" max="3087" width="11.7109375" customWidth="1"/>
    <col min="3088" max="3088" width="14.42578125" customWidth="1"/>
    <col min="3089" max="3089" width="22.42578125" customWidth="1"/>
    <col min="3090" max="3090" width="12.85546875" customWidth="1"/>
    <col min="3091" max="3091" width="12" bestFit="1" customWidth="1"/>
    <col min="3329" max="3329" width="14.28515625" customWidth="1"/>
    <col min="3330" max="3330" width="14.5703125" customWidth="1"/>
    <col min="3331" max="3331" width="13.85546875" customWidth="1"/>
    <col min="3333" max="3333" width="14.42578125" customWidth="1"/>
    <col min="3335" max="3335" width="13.140625" customWidth="1"/>
    <col min="3337" max="3337" width="15.5703125" customWidth="1"/>
    <col min="3339" max="3339" width="14.7109375" customWidth="1"/>
    <col min="3341" max="3341" width="12.7109375" customWidth="1"/>
    <col min="3342" max="3342" width="14.140625" customWidth="1"/>
    <col min="3343" max="3343" width="11.7109375" customWidth="1"/>
    <col min="3344" max="3344" width="14.42578125" customWidth="1"/>
    <col min="3345" max="3345" width="22.42578125" customWidth="1"/>
    <col min="3346" max="3346" width="12.85546875" customWidth="1"/>
    <col min="3347" max="3347" width="12" bestFit="1" customWidth="1"/>
    <col min="3585" max="3585" width="14.28515625" customWidth="1"/>
    <col min="3586" max="3586" width="14.5703125" customWidth="1"/>
    <col min="3587" max="3587" width="13.85546875" customWidth="1"/>
    <col min="3589" max="3589" width="14.42578125" customWidth="1"/>
    <col min="3591" max="3591" width="13.140625" customWidth="1"/>
    <col min="3593" max="3593" width="15.5703125" customWidth="1"/>
    <col min="3595" max="3595" width="14.7109375" customWidth="1"/>
    <col min="3597" max="3597" width="12.7109375" customWidth="1"/>
    <col min="3598" max="3598" width="14.140625" customWidth="1"/>
    <col min="3599" max="3599" width="11.7109375" customWidth="1"/>
    <col min="3600" max="3600" width="14.42578125" customWidth="1"/>
    <col min="3601" max="3601" width="22.42578125" customWidth="1"/>
    <col min="3602" max="3602" width="12.85546875" customWidth="1"/>
    <col min="3603" max="3603" width="12" bestFit="1" customWidth="1"/>
    <col min="3841" max="3841" width="14.28515625" customWidth="1"/>
    <col min="3842" max="3842" width="14.5703125" customWidth="1"/>
    <col min="3843" max="3843" width="13.85546875" customWidth="1"/>
    <col min="3845" max="3845" width="14.42578125" customWidth="1"/>
    <col min="3847" max="3847" width="13.140625" customWidth="1"/>
    <col min="3849" max="3849" width="15.5703125" customWidth="1"/>
    <col min="3851" max="3851" width="14.7109375" customWidth="1"/>
    <col min="3853" max="3853" width="12.7109375" customWidth="1"/>
    <col min="3854" max="3854" width="14.140625" customWidth="1"/>
    <col min="3855" max="3855" width="11.7109375" customWidth="1"/>
    <col min="3856" max="3856" width="14.42578125" customWidth="1"/>
    <col min="3857" max="3857" width="22.42578125" customWidth="1"/>
    <col min="3858" max="3858" width="12.85546875" customWidth="1"/>
    <col min="3859" max="3859" width="12" bestFit="1" customWidth="1"/>
    <col min="4097" max="4097" width="14.28515625" customWidth="1"/>
    <col min="4098" max="4098" width="14.5703125" customWidth="1"/>
    <col min="4099" max="4099" width="13.85546875" customWidth="1"/>
    <col min="4101" max="4101" width="14.42578125" customWidth="1"/>
    <col min="4103" max="4103" width="13.140625" customWidth="1"/>
    <col min="4105" max="4105" width="15.5703125" customWidth="1"/>
    <col min="4107" max="4107" width="14.7109375" customWidth="1"/>
    <col min="4109" max="4109" width="12.7109375" customWidth="1"/>
    <col min="4110" max="4110" width="14.140625" customWidth="1"/>
    <col min="4111" max="4111" width="11.7109375" customWidth="1"/>
    <col min="4112" max="4112" width="14.42578125" customWidth="1"/>
    <col min="4113" max="4113" width="22.42578125" customWidth="1"/>
    <col min="4114" max="4114" width="12.85546875" customWidth="1"/>
    <col min="4115" max="4115" width="12" bestFit="1" customWidth="1"/>
    <col min="4353" max="4353" width="14.28515625" customWidth="1"/>
    <col min="4354" max="4354" width="14.5703125" customWidth="1"/>
    <col min="4355" max="4355" width="13.85546875" customWidth="1"/>
    <col min="4357" max="4357" width="14.42578125" customWidth="1"/>
    <col min="4359" max="4359" width="13.140625" customWidth="1"/>
    <col min="4361" max="4361" width="15.5703125" customWidth="1"/>
    <col min="4363" max="4363" width="14.7109375" customWidth="1"/>
    <col min="4365" max="4365" width="12.7109375" customWidth="1"/>
    <col min="4366" max="4366" width="14.140625" customWidth="1"/>
    <col min="4367" max="4367" width="11.7109375" customWidth="1"/>
    <col min="4368" max="4368" width="14.42578125" customWidth="1"/>
    <col min="4369" max="4369" width="22.42578125" customWidth="1"/>
    <col min="4370" max="4370" width="12.85546875" customWidth="1"/>
    <col min="4371" max="4371" width="12" bestFit="1" customWidth="1"/>
    <col min="4609" max="4609" width="14.28515625" customWidth="1"/>
    <col min="4610" max="4610" width="14.5703125" customWidth="1"/>
    <col min="4611" max="4611" width="13.85546875" customWidth="1"/>
    <col min="4613" max="4613" width="14.42578125" customWidth="1"/>
    <col min="4615" max="4615" width="13.140625" customWidth="1"/>
    <col min="4617" max="4617" width="15.5703125" customWidth="1"/>
    <col min="4619" max="4619" width="14.7109375" customWidth="1"/>
    <col min="4621" max="4621" width="12.7109375" customWidth="1"/>
    <col min="4622" max="4622" width="14.140625" customWidth="1"/>
    <col min="4623" max="4623" width="11.7109375" customWidth="1"/>
    <col min="4624" max="4624" width="14.42578125" customWidth="1"/>
    <col min="4625" max="4625" width="22.42578125" customWidth="1"/>
    <col min="4626" max="4626" width="12.85546875" customWidth="1"/>
    <col min="4627" max="4627" width="12" bestFit="1" customWidth="1"/>
    <col min="4865" max="4865" width="14.28515625" customWidth="1"/>
    <col min="4866" max="4866" width="14.5703125" customWidth="1"/>
    <col min="4867" max="4867" width="13.85546875" customWidth="1"/>
    <col min="4869" max="4869" width="14.42578125" customWidth="1"/>
    <col min="4871" max="4871" width="13.140625" customWidth="1"/>
    <col min="4873" max="4873" width="15.5703125" customWidth="1"/>
    <col min="4875" max="4875" width="14.7109375" customWidth="1"/>
    <col min="4877" max="4877" width="12.7109375" customWidth="1"/>
    <col min="4878" max="4878" width="14.140625" customWidth="1"/>
    <col min="4879" max="4879" width="11.7109375" customWidth="1"/>
    <col min="4880" max="4880" width="14.42578125" customWidth="1"/>
    <col min="4881" max="4881" width="22.42578125" customWidth="1"/>
    <col min="4882" max="4882" width="12.85546875" customWidth="1"/>
    <col min="4883" max="4883" width="12" bestFit="1" customWidth="1"/>
    <col min="5121" max="5121" width="14.28515625" customWidth="1"/>
    <col min="5122" max="5122" width="14.5703125" customWidth="1"/>
    <col min="5123" max="5123" width="13.85546875" customWidth="1"/>
    <col min="5125" max="5125" width="14.42578125" customWidth="1"/>
    <col min="5127" max="5127" width="13.140625" customWidth="1"/>
    <col min="5129" max="5129" width="15.5703125" customWidth="1"/>
    <col min="5131" max="5131" width="14.7109375" customWidth="1"/>
    <col min="5133" max="5133" width="12.7109375" customWidth="1"/>
    <col min="5134" max="5134" width="14.140625" customWidth="1"/>
    <col min="5135" max="5135" width="11.7109375" customWidth="1"/>
    <col min="5136" max="5136" width="14.42578125" customWidth="1"/>
    <col min="5137" max="5137" width="22.42578125" customWidth="1"/>
    <col min="5138" max="5138" width="12.85546875" customWidth="1"/>
    <col min="5139" max="5139" width="12" bestFit="1" customWidth="1"/>
    <col min="5377" max="5377" width="14.28515625" customWidth="1"/>
    <col min="5378" max="5378" width="14.5703125" customWidth="1"/>
    <col min="5379" max="5379" width="13.85546875" customWidth="1"/>
    <col min="5381" max="5381" width="14.42578125" customWidth="1"/>
    <col min="5383" max="5383" width="13.140625" customWidth="1"/>
    <col min="5385" max="5385" width="15.5703125" customWidth="1"/>
    <col min="5387" max="5387" width="14.7109375" customWidth="1"/>
    <col min="5389" max="5389" width="12.7109375" customWidth="1"/>
    <col min="5390" max="5390" width="14.140625" customWidth="1"/>
    <col min="5391" max="5391" width="11.7109375" customWidth="1"/>
    <col min="5392" max="5392" width="14.42578125" customWidth="1"/>
    <col min="5393" max="5393" width="22.42578125" customWidth="1"/>
    <col min="5394" max="5394" width="12.85546875" customWidth="1"/>
    <col min="5395" max="5395" width="12" bestFit="1" customWidth="1"/>
    <col min="5633" max="5633" width="14.28515625" customWidth="1"/>
    <col min="5634" max="5634" width="14.5703125" customWidth="1"/>
    <col min="5635" max="5635" width="13.85546875" customWidth="1"/>
    <col min="5637" max="5637" width="14.42578125" customWidth="1"/>
    <col min="5639" max="5639" width="13.140625" customWidth="1"/>
    <col min="5641" max="5641" width="15.5703125" customWidth="1"/>
    <col min="5643" max="5643" width="14.7109375" customWidth="1"/>
    <col min="5645" max="5645" width="12.7109375" customWidth="1"/>
    <col min="5646" max="5646" width="14.140625" customWidth="1"/>
    <col min="5647" max="5647" width="11.7109375" customWidth="1"/>
    <col min="5648" max="5648" width="14.42578125" customWidth="1"/>
    <col min="5649" max="5649" width="22.42578125" customWidth="1"/>
    <col min="5650" max="5650" width="12.85546875" customWidth="1"/>
    <col min="5651" max="5651" width="12" bestFit="1" customWidth="1"/>
    <col min="5889" max="5889" width="14.28515625" customWidth="1"/>
    <col min="5890" max="5890" width="14.5703125" customWidth="1"/>
    <col min="5891" max="5891" width="13.85546875" customWidth="1"/>
    <col min="5893" max="5893" width="14.42578125" customWidth="1"/>
    <col min="5895" max="5895" width="13.140625" customWidth="1"/>
    <col min="5897" max="5897" width="15.5703125" customWidth="1"/>
    <col min="5899" max="5899" width="14.7109375" customWidth="1"/>
    <col min="5901" max="5901" width="12.7109375" customWidth="1"/>
    <col min="5902" max="5902" width="14.140625" customWidth="1"/>
    <col min="5903" max="5903" width="11.7109375" customWidth="1"/>
    <col min="5904" max="5904" width="14.42578125" customWidth="1"/>
    <col min="5905" max="5905" width="22.42578125" customWidth="1"/>
    <col min="5906" max="5906" width="12.85546875" customWidth="1"/>
    <col min="5907" max="5907" width="12" bestFit="1" customWidth="1"/>
    <col min="6145" max="6145" width="14.28515625" customWidth="1"/>
    <col min="6146" max="6146" width="14.5703125" customWidth="1"/>
    <col min="6147" max="6147" width="13.85546875" customWidth="1"/>
    <col min="6149" max="6149" width="14.42578125" customWidth="1"/>
    <col min="6151" max="6151" width="13.140625" customWidth="1"/>
    <col min="6153" max="6153" width="15.5703125" customWidth="1"/>
    <col min="6155" max="6155" width="14.7109375" customWidth="1"/>
    <col min="6157" max="6157" width="12.7109375" customWidth="1"/>
    <col min="6158" max="6158" width="14.140625" customWidth="1"/>
    <col min="6159" max="6159" width="11.7109375" customWidth="1"/>
    <col min="6160" max="6160" width="14.42578125" customWidth="1"/>
    <col min="6161" max="6161" width="22.42578125" customWidth="1"/>
    <col min="6162" max="6162" width="12.85546875" customWidth="1"/>
    <col min="6163" max="6163" width="12" bestFit="1" customWidth="1"/>
    <col min="6401" max="6401" width="14.28515625" customWidth="1"/>
    <col min="6402" max="6402" width="14.5703125" customWidth="1"/>
    <col min="6403" max="6403" width="13.85546875" customWidth="1"/>
    <col min="6405" max="6405" width="14.42578125" customWidth="1"/>
    <col min="6407" max="6407" width="13.140625" customWidth="1"/>
    <col min="6409" max="6409" width="15.5703125" customWidth="1"/>
    <col min="6411" max="6411" width="14.7109375" customWidth="1"/>
    <col min="6413" max="6413" width="12.7109375" customWidth="1"/>
    <col min="6414" max="6414" width="14.140625" customWidth="1"/>
    <col min="6415" max="6415" width="11.7109375" customWidth="1"/>
    <col min="6416" max="6416" width="14.42578125" customWidth="1"/>
    <col min="6417" max="6417" width="22.42578125" customWidth="1"/>
    <col min="6418" max="6418" width="12.85546875" customWidth="1"/>
    <col min="6419" max="6419" width="12" bestFit="1" customWidth="1"/>
    <col min="6657" max="6657" width="14.28515625" customWidth="1"/>
    <col min="6658" max="6658" width="14.5703125" customWidth="1"/>
    <col min="6659" max="6659" width="13.85546875" customWidth="1"/>
    <col min="6661" max="6661" width="14.42578125" customWidth="1"/>
    <col min="6663" max="6663" width="13.140625" customWidth="1"/>
    <col min="6665" max="6665" width="15.5703125" customWidth="1"/>
    <col min="6667" max="6667" width="14.7109375" customWidth="1"/>
    <col min="6669" max="6669" width="12.7109375" customWidth="1"/>
    <col min="6670" max="6670" width="14.140625" customWidth="1"/>
    <col min="6671" max="6671" width="11.7109375" customWidth="1"/>
    <col min="6672" max="6672" width="14.42578125" customWidth="1"/>
    <col min="6673" max="6673" width="22.42578125" customWidth="1"/>
    <col min="6674" max="6674" width="12.85546875" customWidth="1"/>
    <col min="6675" max="6675" width="12" bestFit="1" customWidth="1"/>
    <col min="6913" max="6913" width="14.28515625" customWidth="1"/>
    <col min="6914" max="6914" width="14.5703125" customWidth="1"/>
    <col min="6915" max="6915" width="13.85546875" customWidth="1"/>
    <col min="6917" max="6917" width="14.42578125" customWidth="1"/>
    <col min="6919" max="6919" width="13.140625" customWidth="1"/>
    <col min="6921" max="6921" width="15.5703125" customWidth="1"/>
    <col min="6923" max="6923" width="14.7109375" customWidth="1"/>
    <col min="6925" max="6925" width="12.7109375" customWidth="1"/>
    <col min="6926" max="6926" width="14.140625" customWidth="1"/>
    <col min="6927" max="6927" width="11.7109375" customWidth="1"/>
    <col min="6928" max="6928" width="14.42578125" customWidth="1"/>
    <col min="6929" max="6929" width="22.42578125" customWidth="1"/>
    <col min="6930" max="6930" width="12.85546875" customWidth="1"/>
    <col min="6931" max="6931" width="12" bestFit="1" customWidth="1"/>
    <col min="7169" max="7169" width="14.28515625" customWidth="1"/>
    <col min="7170" max="7170" width="14.5703125" customWidth="1"/>
    <col min="7171" max="7171" width="13.85546875" customWidth="1"/>
    <col min="7173" max="7173" width="14.42578125" customWidth="1"/>
    <col min="7175" max="7175" width="13.140625" customWidth="1"/>
    <col min="7177" max="7177" width="15.5703125" customWidth="1"/>
    <col min="7179" max="7179" width="14.7109375" customWidth="1"/>
    <col min="7181" max="7181" width="12.7109375" customWidth="1"/>
    <col min="7182" max="7182" width="14.140625" customWidth="1"/>
    <col min="7183" max="7183" width="11.7109375" customWidth="1"/>
    <col min="7184" max="7184" width="14.42578125" customWidth="1"/>
    <col min="7185" max="7185" width="22.42578125" customWidth="1"/>
    <col min="7186" max="7186" width="12.85546875" customWidth="1"/>
    <col min="7187" max="7187" width="12" bestFit="1" customWidth="1"/>
    <col min="7425" max="7425" width="14.28515625" customWidth="1"/>
    <col min="7426" max="7426" width="14.5703125" customWidth="1"/>
    <col min="7427" max="7427" width="13.85546875" customWidth="1"/>
    <col min="7429" max="7429" width="14.42578125" customWidth="1"/>
    <col min="7431" max="7431" width="13.140625" customWidth="1"/>
    <col min="7433" max="7433" width="15.5703125" customWidth="1"/>
    <col min="7435" max="7435" width="14.7109375" customWidth="1"/>
    <col min="7437" max="7437" width="12.7109375" customWidth="1"/>
    <col min="7438" max="7438" width="14.140625" customWidth="1"/>
    <col min="7439" max="7439" width="11.7109375" customWidth="1"/>
    <col min="7440" max="7440" width="14.42578125" customWidth="1"/>
    <col min="7441" max="7441" width="22.42578125" customWidth="1"/>
    <col min="7442" max="7442" width="12.85546875" customWidth="1"/>
    <col min="7443" max="7443" width="12" bestFit="1" customWidth="1"/>
    <col min="7681" max="7681" width="14.28515625" customWidth="1"/>
    <col min="7682" max="7682" width="14.5703125" customWidth="1"/>
    <col min="7683" max="7683" width="13.85546875" customWidth="1"/>
    <col min="7685" max="7685" width="14.42578125" customWidth="1"/>
    <col min="7687" max="7687" width="13.140625" customWidth="1"/>
    <col min="7689" max="7689" width="15.5703125" customWidth="1"/>
    <col min="7691" max="7691" width="14.7109375" customWidth="1"/>
    <col min="7693" max="7693" width="12.7109375" customWidth="1"/>
    <col min="7694" max="7694" width="14.140625" customWidth="1"/>
    <col min="7695" max="7695" width="11.7109375" customWidth="1"/>
    <col min="7696" max="7696" width="14.42578125" customWidth="1"/>
    <col min="7697" max="7697" width="22.42578125" customWidth="1"/>
    <col min="7698" max="7698" width="12.85546875" customWidth="1"/>
    <col min="7699" max="7699" width="12" bestFit="1" customWidth="1"/>
    <col min="7937" max="7937" width="14.28515625" customWidth="1"/>
    <col min="7938" max="7938" width="14.5703125" customWidth="1"/>
    <col min="7939" max="7939" width="13.85546875" customWidth="1"/>
    <col min="7941" max="7941" width="14.42578125" customWidth="1"/>
    <col min="7943" max="7943" width="13.140625" customWidth="1"/>
    <col min="7945" max="7945" width="15.5703125" customWidth="1"/>
    <col min="7947" max="7947" width="14.7109375" customWidth="1"/>
    <col min="7949" max="7949" width="12.7109375" customWidth="1"/>
    <col min="7950" max="7950" width="14.140625" customWidth="1"/>
    <col min="7951" max="7951" width="11.7109375" customWidth="1"/>
    <col min="7952" max="7952" width="14.42578125" customWidth="1"/>
    <col min="7953" max="7953" width="22.42578125" customWidth="1"/>
    <col min="7954" max="7954" width="12.85546875" customWidth="1"/>
    <col min="7955" max="7955" width="12" bestFit="1" customWidth="1"/>
    <col min="8193" max="8193" width="14.28515625" customWidth="1"/>
    <col min="8194" max="8194" width="14.5703125" customWidth="1"/>
    <col min="8195" max="8195" width="13.85546875" customWidth="1"/>
    <col min="8197" max="8197" width="14.42578125" customWidth="1"/>
    <col min="8199" max="8199" width="13.140625" customWidth="1"/>
    <col min="8201" max="8201" width="15.5703125" customWidth="1"/>
    <col min="8203" max="8203" width="14.7109375" customWidth="1"/>
    <col min="8205" max="8205" width="12.7109375" customWidth="1"/>
    <col min="8206" max="8206" width="14.140625" customWidth="1"/>
    <col min="8207" max="8207" width="11.7109375" customWidth="1"/>
    <col min="8208" max="8208" width="14.42578125" customWidth="1"/>
    <col min="8209" max="8209" width="22.42578125" customWidth="1"/>
    <col min="8210" max="8210" width="12.85546875" customWidth="1"/>
    <col min="8211" max="8211" width="12" bestFit="1" customWidth="1"/>
    <col min="8449" max="8449" width="14.28515625" customWidth="1"/>
    <col min="8450" max="8450" width="14.5703125" customWidth="1"/>
    <col min="8451" max="8451" width="13.85546875" customWidth="1"/>
    <col min="8453" max="8453" width="14.42578125" customWidth="1"/>
    <col min="8455" max="8455" width="13.140625" customWidth="1"/>
    <col min="8457" max="8457" width="15.5703125" customWidth="1"/>
    <col min="8459" max="8459" width="14.7109375" customWidth="1"/>
    <col min="8461" max="8461" width="12.7109375" customWidth="1"/>
    <col min="8462" max="8462" width="14.140625" customWidth="1"/>
    <col min="8463" max="8463" width="11.7109375" customWidth="1"/>
    <col min="8464" max="8464" width="14.42578125" customWidth="1"/>
    <col min="8465" max="8465" width="22.42578125" customWidth="1"/>
    <col min="8466" max="8466" width="12.85546875" customWidth="1"/>
    <col min="8467" max="8467" width="12" bestFit="1" customWidth="1"/>
    <col min="8705" max="8705" width="14.28515625" customWidth="1"/>
    <col min="8706" max="8706" width="14.5703125" customWidth="1"/>
    <col min="8707" max="8707" width="13.85546875" customWidth="1"/>
    <col min="8709" max="8709" width="14.42578125" customWidth="1"/>
    <col min="8711" max="8711" width="13.140625" customWidth="1"/>
    <col min="8713" max="8713" width="15.5703125" customWidth="1"/>
    <col min="8715" max="8715" width="14.7109375" customWidth="1"/>
    <col min="8717" max="8717" width="12.7109375" customWidth="1"/>
    <col min="8718" max="8718" width="14.140625" customWidth="1"/>
    <col min="8719" max="8719" width="11.7109375" customWidth="1"/>
    <col min="8720" max="8720" width="14.42578125" customWidth="1"/>
    <col min="8721" max="8721" width="22.42578125" customWidth="1"/>
    <col min="8722" max="8722" width="12.85546875" customWidth="1"/>
    <col min="8723" max="8723" width="12" bestFit="1" customWidth="1"/>
    <col min="8961" max="8961" width="14.28515625" customWidth="1"/>
    <col min="8962" max="8962" width="14.5703125" customWidth="1"/>
    <col min="8963" max="8963" width="13.85546875" customWidth="1"/>
    <col min="8965" max="8965" width="14.42578125" customWidth="1"/>
    <col min="8967" max="8967" width="13.140625" customWidth="1"/>
    <col min="8969" max="8969" width="15.5703125" customWidth="1"/>
    <col min="8971" max="8971" width="14.7109375" customWidth="1"/>
    <col min="8973" max="8973" width="12.7109375" customWidth="1"/>
    <col min="8974" max="8974" width="14.140625" customWidth="1"/>
    <col min="8975" max="8975" width="11.7109375" customWidth="1"/>
    <col min="8976" max="8976" width="14.42578125" customWidth="1"/>
    <col min="8977" max="8977" width="22.42578125" customWidth="1"/>
    <col min="8978" max="8978" width="12.85546875" customWidth="1"/>
    <col min="8979" max="8979" width="12" bestFit="1" customWidth="1"/>
    <col min="9217" max="9217" width="14.28515625" customWidth="1"/>
    <col min="9218" max="9218" width="14.5703125" customWidth="1"/>
    <col min="9219" max="9219" width="13.85546875" customWidth="1"/>
    <col min="9221" max="9221" width="14.42578125" customWidth="1"/>
    <col min="9223" max="9223" width="13.140625" customWidth="1"/>
    <col min="9225" max="9225" width="15.5703125" customWidth="1"/>
    <col min="9227" max="9227" width="14.7109375" customWidth="1"/>
    <col min="9229" max="9229" width="12.7109375" customWidth="1"/>
    <col min="9230" max="9230" width="14.140625" customWidth="1"/>
    <col min="9231" max="9231" width="11.7109375" customWidth="1"/>
    <col min="9232" max="9232" width="14.42578125" customWidth="1"/>
    <col min="9233" max="9233" width="22.42578125" customWidth="1"/>
    <col min="9234" max="9234" width="12.85546875" customWidth="1"/>
    <col min="9235" max="9235" width="12" bestFit="1" customWidth="1"/>
    <col min="9473" max="9473" width="14.28515625" customWidth="1"/>
    <col min="9474" max="9474" width="14.5703125" customWidth="1"/>
    <col min="9475" max="9475" width="13.85546875" customWidth="1"/>
    <col min="9477" max="9477" width="14.42578125" customWidth="1"/>
    <col min="9479" max="9479" width="13.140625" customWidth="1"/>
    <col min="9481" max="9481" width="15.5703125" customWidth="1"/>
    <col min="9483" max="9483" width="14.7109375" customWidth="1"/>
    <col min="9485" max="9485" width="12.7109375" customWidth="1"/>
    <col min="9486" max="9486" width="14.140625" customWidth="1"/>
    <col min="9487" max="9487" width="11.7109375" customWidth="1"/>
    <col min="9488" max="9488" width="14.42578125" customWidth="1"/>
    <col min="9489" max="9489" width="22.42578125" customWidth="1"/>
    <col min="9490" max="9490" width="12.85546875" customWidth="1"/>
    <col min="9491" max="9491" width="12" bestFit="1" customWidth="1"/>
    <col min="9729" max="9729" width="14.28515625" customWidth="1"/>
    <col min="9730" max="9730" width="14.5703125" customWidth="1"/>
    <col min="9731" max="9731" width="13.85546875" customWidth="1"/>
    <col min="9733" max="9733" width="14.42578125" customWidth="1"/>
    <col min="9735" max="9735" width="13.140625" customWidth="1"/>
    <col min="9737" max="9737" width="15.5703125" customWidth="1"/>
    <col min="9739" max="9739" width="14.7109375" customWidth="1"/>
    <col min="9741" max="9741" width="12.7109375" customWidth="1"/>
    <col min="9742" max="9742" width="14.140625" customWidth="1"/>
    <col min="9743" max="9743" width="11.7109375" customWidth="1"/>
    <col min="9744" max="9744" width="14.42578125" customWidth="1"/>
    <col min="9745" max="9745" width="22.42578125" customWidth="1"/>
    <col min="9746" max="9746" width="12.85546875" customWidth="1"/>
    <col min="9747" max="9747" width="12" bestFit="1" customWidth="1"/>
    <col min="9985" max="9985" width="14.28515625" customWidth="1"/>
    <col min="9986" max="9986" width="14.5703125" customWidth="1"/>
    <col min="9987" max="9987" width="13.85546875" customWidth="1"/>
    <col min="9989" max="9989" width="14.42578125" customWidth="1"/>
    <col min="9991" max="9991" width="13.140625" customWidth="1"/>
    <col min="9993" max="9993" width="15.5703125" customWidth="1"/>
    <col min="9995" max="9995" width="14.7109375" customWidth="1"/>
    <col min="9997" max="9997" width="12.7109375" customWidth="1"/>
    <col min="9998" max="9998" width="14.140625" customWidth="1"/>
    <col min="9999" max="9999" width="11.7109375" customWidth="1"/>
    <col min="10000" max="10000" width="14.42578125" customWidth="1"/>
    <col min="10001" max="10001" width="22.42578125" customWidth="1"/>
    <col min="10002" max="10002" width="12.85546875" customWidth="1"/>
    <col min="10003" max="10003" width="12" bestFit="1" customWidth="1"/>
    <col min="10241" max="10241" width="14.28515625" customWidth="1"/>
    <col min="10242" max="10242" width="14.5703125" customWidth="1"/>
    <col min="10243" max="10243" width="13.85546875" customWidth="1"/>
    <col min="10245" max="10245" width="14.42578125" customWidth="1"/>
    <col min="10247" max="10247" width="13.140625" customWidth="1"/>
    <col min="10249" max="10249" width="15.5703125" customWidth="1"/>
    <col min="10251" max="10251" width="14.7109375" customWidth="1"/>
    <col min="10253" max="10253" width="12.7109375" customWidth="1"/>
    <col min="10254" max="10254" width="14.140625" customWidth="1"/>
    <col min="10255" max="10255" width="11.7109375" customWidth="1"/>
    <col min="10256" max="10256" width="14.42578125" customWidth="1"/>
    <col min="10257" max="10257" width="22.42578125" customWidth="1"/>
    <col min="10258" max="10258" width="12.85546875" customWidth="1"/>
    <col min="10259" max="10259" width="12" bestFit="1" customWidth="1"/>
    <col min="10497" max="10497" width="14.28515625" customWidth="1"/>
    <col min="10498" max="10498" width="14.5703125" customWidth="1"/>
    <col min="10499" max="10499" width="13.85546875" customWidth="1"/>
    <col min="10501" max="10501" width="14.42578125" customWidth="1"/>
    <col min="10503" max="10503" width="13.140625" customWidth="1"/>
    <col min="10505" max="10505" width="15.5703125" customWidth="1"/>
    <col min="10507" max="10507" width="14.7109375" customWidth="1"/>
    <col min="10509" max="10509" width="12.7109375" customWidth="1"/>
    <col min="10510" max="10510" width="14.140625" customWidth="1"/>
    <col min="10511" max="10511" width="11.7109375" customWidth="1"/>
    <col min="10512" max="10512" width="14.42578125" customWidth="1"/>
    <col min="10513" max="10513" width="22.42578125" customWidth="1"/>
    <col min="10514" max="10514" width="12.85546875" customWidth="1"/>
    <col min="10515" max="10515" width="12" bestFit="1" customWidth="1"/>
    <col min="10753" max="10753" width="14.28515625" customWidth="1"/>
    <col min="10754" max="10754" width="14.5703125" customWidth="1"/>
    <col min="10755" max="10755" width="13.85546875" customWidth="1"/>
    <col min="10757" max="10757" width="14.42578125" customWidth="1"/>
    <col min="10759" max="10759" width="13.140625" customWidth="1"/>
    <col min="10761" max="10761" width="15.5703125" customWidth="1"/>
    <col min="10763" max="10763" width="14.7109375" customWidth="1"/>
    <col min="10765" max="10765" width="12.7109375" customWidth="1"/>
    <col min="10766" max="10766" width="14.140625" customWidth="1"/>
    <col min="10767" max="10767" width="11.7109375" customWidth="1"/>
    <col min="10768" max="10768" width="14.42578125" customWidth="1"/>
    <col min="10769" max="10769" width="22.42578125" customWidth="1"/>
    <col min="10770" max="10770" width="12.85546875" customWidth="1"/>
    <col min="10771" max="10771" width="12" bestFit="1" customWidth="1"/>
    <col min="11009" max="11009" width="14.28515625" customWidth="1"/>
    <col min="11010" max="11010" width="14.5703125" customWidth="1"/>
    <col min="11011" max="11011" width="13.85546875" customWidth="1"/>
    <col min="11013" max="11013" width="14.42578125" customWidth="1"/>
    <col min="11015" max="11015" width="13.140625" customWidth="1"/>
    <col min="11017" max="11017" width="15.5703125" customWidth="1"/>
    <col min="11019" max="11019" width="14.7109375" customWidth="1"/>
    <col min="11021" max="11021" width="12.7109375" customWidth="1"/>
    <col min="11022" max="11022" width="14.140625" customWidth="1"/>
    <col min="11023" max="11023" width="11.7109375" customWidth="1"/>
    <col min="11024" max="11024" width="14.42578125" customWidth="1"/>
    <col min="11025" max="11025" width="22.42578125" customWidth="1"/>
    <col min="11026" max="11026" width="12.85546875" customWidth="1"/>
    <col min="11027" max="11027" width="12" bestFit="1" customWidth="1"/>
    <col min="11265" max="11265" width="14.28515625" customWidth="1"/>
    <col min="11266" max="11266" width="14.5703125" customWidth="1"/>
    <col min="11267" max="11267" width="13.85546875" customWidth="1"/>
    <col min="11269" max="11269" width="14.42578125" customWidth="1"/>
    <col min="11271" max="11271" width="13.140625" customWidth="1"/>
    <col min="11273" max="11273" width="15.5703125" customWidth="1"/>
    <col min="11275" max="11275" width="14.7109375" customWidth="1"/>
    <col min="11277" max="11277" width="12.7109375" customWidth="1"/>
    <col min="11278" max="11278" width="14.140625" customWidth="1"/>
    <col min="11279" max="11279" width="11.7109375" customWidth="1"/>
    <col min="11280" max="11280" width="14.42578125" customWidth="1"/>
    <col min="11281" max="11281" width="22.42578125" customWidth="1"/>
    <col min="11282" max="11282" width="12.85546875" customWidth="1"/>
    <col min="11283" max="11283" width="12" bestFit="1" customWidth="1"/>
    <col min="11521" max="11521" width="14.28515625" customWidth="1"/>
    <col min="11522" max="11522" width="14.5703125" customWidth="1"/>
    <col min="11523" max="11523" width="13.85546875" customWidth="1"/>
    <col min="11525" max="11525" width="14.42578125" customWidth="1"/>
    <col min="11527" max="11527" width="13.140625" customWidth="1"/>
    <col min="11529" max="11529" width="15.5703125" customWidth="1"/>
    <col min="11531" max="11531" width="14.7109375" customWidth="1"/>
    <col min="11533" max="11533" width="12.7109375" customWidth="1"/>
    <col min="11534" max="11534" width="14.140625" customWidth="1"/>
    <col min="11535" max="11535" width="11.7109375" customWidth="1"/>
    <col min="11536" max="11536" width="14.42578125" customWidth="1"/>
    <col min="11537" max="11537" width="22.42578125" customWidth="1"/>
    <col min="11538" max="11538" width="12.85546875" customWidth="1"/>
    <col min="11539" max="11539" width="12" bestFit="1" customWidth="1"/>
    <col min="11777" max="11777" width="14.28515625" customWidth="1"/>
    <col min="11778" max="11778" width="14.5703125" customWidth="1"/>
    <col min="11779" max="11779" width="13.85546875" customWidth="1"/>
    <col min="11781" max="11781" width="14.42578125" customWidth="1"/>
    <col min="11783" max="11783" width="13.140625" customWidth="1"/>
    <col min="11785" max="11785" width="15.5703125" customWidth="1"/>
    <col min="11787" max="11787" width="14.7109375" customWidth="1"/>
    <col min="11789" max="11789" width="12.7109375" customWidth="1"/>
    <col min="11790" max="11790" width="14.140625" customWidth="1"/>
    <col min="11791" max="11791" width="11.7109375" customWidth="1"/>
    <col min="11792" max="11792" width="14.42578125" customWidth="1"/>
    <col min="11793" max="11793" width="22.42578125" customWidth="1"/>
    <col min="11794" max="11794" width="12.85546875" customWidth="1"/>
    <col min="11795" max="11795" width="12" bestFit="1" customWidth="1"/>
    <col min="12033" max="12033" width="14.28515625" customWidth="1"/>
    <col min="12034" max="12034" width="14.5703125" customWidth="1"/>
    <col min="12035" max="12035" width="13.85546875" customWidth="1"/>
    <col min="12037" max="12037" width="14.42578125" customWidth="1"/>
    <col min="12039" max="12039" width="13.140625" customWidth="1"/>
    <col min="12041" max="12041" width="15.5703125" customWidth="1"/>
    <col min="12043" max="12043" width="14.7109375" customWidth="1"/>
    <col min="12045" max="12045" width="12.7109375" customWidth="1"/>
    <col min="12046" max="12046" width="14.140625" customWidth="1"/>
    <col min="12047" max="12047" width="11.7109375" customWidth="1"/>
    <col min="12048" max="12048" width="14.42578125" customWidth="1"/>
    <col min="12049" max="12049" width="22.42578125" customWidth="1"/>
    <col min="12050" max="12050" width="12.85546875" customWidth="1"/>
    <col min="12051" max="12051" width="12" bestFit="1" customWidth="1"/>
    <col min="12289" max="12289" width="14.28515625" customWidth="1"/>
    <col min="12290" max="12290" width="14.5703125" customWidth="1"/>
    <col min="12291" max="12291" width="13.85546875" customWidth="1"/>
    <col min="12293" max="12293" width="14.42578125" customWidth="1"/>
    <col min="12295" max="12295" width="13.140625" customWidth="1"/>
    <col min="12297" max="12297" width="15.5703125" customWidth="1"/>
    <col min="12299" max="12299" width="14.7109375" customWidth="1"/>
    <col min="12301" max="12301" width="12.7109375" customWidth="1"/>
    <col min="12302" max="12302" width="14.140625" customWidth="1"/>
    <col min="12303" max="12303" width="11.7109375" customWidth="1"/>
    <col min="12304" max="12304" width="14.42578125" customWidth="1"/>
    <col min="12305" max="12305" width="22.42578125" customWidth="1"/>
    <col min="12306" max="12306" width="12.85546875" customWidth="1"/>
    <col min="12307" max="12307" width="12" bestFit="1" customWidth="1"/>
    <col min="12545" max="12545" width="14.28515625" customWidth="1"/>
    <col min="12546" max="12546" width="14.5703125" customWidth="1"/>
    <col min="12547" max="12547" width="13.85546875" customWidth="1"/>
    <col min="12549" max="12549" width="14.42578125" customWidth="1"/>
    <col min="12551" max="12551" width="13.140625" customWidth="1"/>
    <col min="12553" max="12553" width="15.5703125" customWidth="1"/>
    <col min="12555" max="12555" width="14.7109375" customWidth="1"/>
    <col min="12557" max="12557" width="12.7109375" customWidth="1"/>
    <col min="12558" max="12558" width="14.140625" customWidth="1"/>
    <col min="12559" max="12559" width="11.7109375" customWidth="1"/>
    <col min="12560" max="12560" width="14.42578125" customWidth="1"/>
    <col min="12561" max="12561" width="22.42578125" customWidth="1"/>
    <col min="12562" max="12562" width="12.85546875" customWidth="1"/>
    <col min="12563" max="12563" width="12" bestFit="1" customWidth="1"/>
    <col min="12801" max="12801" width="14.28515625" customWidth="1"/>
    <col min="12802" max="12802" width="14.5703125" customWidth="1"/>
    <col min="12803" max="12803" width="13.85546875" customWidth="1"/>
    <col min="12805" max="12805" width="14.42578125" customWidth="1"/>
    <col min="12807" max="12807" width="13.140625" customWidth="1"/>
    <col min="12809" max="12809" width="15.5703125" customWidth="1"/>
    <col min="12811" max="12811" width="14.7109375" customWidth="1"/>
    <col min="12813" max="12813" width="12.7109375" customWidth="1"/>
    <col min="12814" max="12814" width="14.140625" customWidth="1"/>
    <col min="12815" max="12815" width="11.7109375" customWidth="1"/>
    <col min="12816" max="12816" width="14.42578125" customWidth="1"/>
    <col min="12817" max="12817" width="22.42578125" customWidth="1"/>
    <col min="12818" max="12818" width="12.85546875" customWidth="1"/>
    <col min="12819" max="12819" width="12" bestFit="1" customWidth="1"/>
    <col min="13057" max="13057" width="14.28515625" customWidth="1"/>
    <col min="13058" max="13058" width="14.5703125" customWidth="1"/>
    <col min="13059" max="13059" width="13.85546875" customWidth="1"/>
    <col min="13061" max="13061" width="14.42578125" customWidth="1"/>
    <col min="13063" max="13063" width="13.140625" customWidth="1"/>
    <col min="13065" max="13065" width="15.5703125" customWidth="1"/>
    <col min="13067" max="13067" width="14.7109375" customWidth="1"/>
    <col min="13069" max="13069" width="12.7109375" customWidth="1"/>
    <col min="13070" max="13070" width="14.140625" customWidth="1"/>
    <col min="13071" max="13071" width="11.7109375" customWidth="1"/>
    <col min="13072" max="13072" width="14.42578125" customWidth="1"/>
    <col min="13073" max="13073" width="22.42578125" customWidth="1"/>
    <col min="13074" max="13074" width="12.85546875" customWidth="1"/>
    <col min="13075" max="13075" width="12" bestFit="1" customWidth="1"/>
    <col min="13313" max="13313" width="14.28515625" customWidth="1"/>
    <col min="13314" max="13314" width="14.5703125" customWidth="1"/>
    <col min="13315" max="13315" width="13.85546875" customWidth="1"/>
    <col min="13317" max="13317" width="14.42578125" customWidth="1"/>
    <col min="13319" max="13319" width="13.140625" customWidth="1"/>
    <col min="13321" max="13321" width="15.5703125" customWidth="1"/>
    <col min="13323" max="13323" width="14.7109375" customWidth="1"/>
    <col min="13325" max="13325" width="12.7109375" customWidth="1"/>
    <col min="13326" max="13326" width="14.140625" customWidth="1"/>
    <col min="13327" max="13327" width="11.7109375" customWidth="1"/>
    <col min="13328" max="13328" width="14.42578125" customWidth="1"/>
    <col min="13329" max="13329" width="22.42578125" customWidth="1"/>
    <col min="13330" max="13330" width="12.85546875" customWidth="1"/>
    <col min="13331" max="13331" width="12" bestFit="1" customWidth="1"/>
    <col min="13569" max="13569" width="14.28515625" customWidth="1"/>
    <col min="13570" max="13570" width="14.5703125" customWidth="1"/>
    <col min="13571" max="13571" width="13.85546875" customWidth="1"/>
    <col min="13573" max="13573" width="14.42578125" customWidth="1"/>
    <col min="13575" max="13575" width="13.140625" customWidth="1"/>
    <col min="13577" max="13577" width="15.5703125" customWidth="1"/>
    <col min="13579" max="13579" width="14.7109375" customWidth="1"/>
    <col min="13581" max="13581" width="12.7109375" customWidth="1"/>
    <col min="13582" max="13582" width="14.140625" customWidth="1"/>
    <col min="13583" max="13583" width="11.7109375" customWidth="1"/>
    <col min="13584" max="13584" width="14.42578125" customWidth="1"/>
    <col min="13585" max="13585" width="22.42578125" customWidth="1"/>
    <col min="13586" max="13586" width="12.85546875" customWidth="1"/>
    <col min="13587" max="13587" width="12" bestFit="1" customWidth="1"/>
    <col min="13825" max="13825" width="14.28515625" customWidth="1"/>
    <col min="13826" max="13826" width="14.5703125" customWidth="1"/>
    <col min="13827" max="13827" width="13.85546875" customWidth="1"/>
    <col min="13829" max="13829" width="14.42578125" customWidth="1"/>
    <col min="13831" max="13831" width="13.140625" customWidth="1"/>
    <col min="13833" max="13833" width="15.5703125" customWidth="1"/>
    <col min="13835" max="13835" width="14.7109375" customWidth="1"/>
    <col min="13837" max="13837" width="12.7109375" customWidth="1"/>
    <col min="13838" max="13838" width="14.140625" customWidth="1"/>
    <col min="13839" max="13839" width="11.7109375" customWidth="1"/>
    <col min="13840" max="13840" width="14.42578125" customWidth="1"/>
    <col min="13841" max="13841" width="22.42578125" customWidth="1"/>
    <col min="13842" max="13842" width="12.85546875" customWidth="1"/>
    <col min="13843" max="13843" width="12" bestFit="1" customWidth="1"/>
    <col min="14081" max="14081" width="14.28515625" customWidth="1"/>
    <col min="14082" max="14082" width="14.5703125" customWidth="1"/>
    <col min="14083" max="14083" width="13.85546875" customWidth="1"/>
    <col min="14085" max="14085" width="14.42578125" customWidth="1"/>
    <col min="14087" max="14087" width="13.140625" customWidth="1"/>
    <col min="14089" max="14089" width="15.5703125" customWidth="1"/>
    <col min="14091" max="14091" width="14.7109375" customWidth="1"/>
    <col min="14093" max="14093" width="12.7109375" customWidth="1"/>
    <col min="14094" max="14094" width="14.140625" customWidth="1"/>
    <col min="14095" max="14095" width="11.7109375" customWidth="1"/>
    <col min="14096" max="14096" width="14.42578125" customWidth="1"/>
    <col min="14097" max="14097" width="22.42578125" customWidth="1"/>
    <col min="14098" max="14098" width="12.85546875" customWidth="1"/>
    <col min="14099" max="14099" width="12" bestFit="1" customWidth="1"/>
    <col min="14337" max="14337" width="14.28515625" customWidth="1"/>
    <col min="14338" max="14338" width="14.5703125" customWidth="1"/>
    <col min="14339" max="14339" width="13.85546875" customWidth="1"/>
    <col min="14341" max="14341" width="14.42578125" customWidth="1"/>
    <col min="14343" max="14343" width="13.140625" customWidth="1"/>
    <col min="14345" max="14345" width="15.5703125" customWidth="1"/>
    <col min="14347" max="14347" width="14.7109375" customWidth="1"/>
    <col min="14349" max="14349" width="12.7109375" customWidth="1"/>
    <col min="14350" max="14350" width="14.140625" customWidth="1"/>
    <col min="14351" max="14351" width="11.7109375" customWidth="1"/>
    <col min="14352" max="14352" width="14.42578125" customWidth="1"/>
    <col min="14353" max="14353" width="22.42578125" customWidth="1"/>
    <col min="14354" max="14354" width="12.85546875" customWidth="1"/>
    <col min="14355" max="14355" width="12" bestFit="1" customWidth="1"/>
    <col min="14593" max="14593" width="14.28515625" customWidth="1"/>
    <col min="14594" max="14594" width="14.5703125" customWidth="1"/>
    <col min="14595" max="14595" width="13.85546875" customWidth="1"/>
    <col min="14597" max="14597" width="14.42578125" customWidth="1"/>
    <col min="14599" max="14599" width="13.140625" customWidth="1"/>
    <col min="14601" max="14601" width="15.5703125" customWidth="1"/>
    <col min="14603" max="14603" width="14.7109375" customWidth="1"/>
    <col min="14605" max="14605" width="12.7109375" customWidth="1"/>
    <col min="14606" max="14606" width="14.140625" customWidth="1"/>
    <col min="14607" max="14607" width="11.7109375" customWidth="1"/>
    <col min="14608" max="14608" width="14.42578125" customWidth="1"/>
    <col min="14609" max="14609" width="22.42578125" customWidth="1"/>
    <col min="14610" max="14610" width="12.85546875" customWidth="1"/>
    <col min="14611" max="14611" width="12" bestFit="1" customWidth="1"/>
    <col min="14849" max="14849" width="14.28515625" customWidth="1"/>
    <col min="14850" max="14850" width="14.5703125" customWidth="1"/>
    <col min="14851" max="14851" width="13.85546875" customWidth="1"/>
    <col min="14853" max="14853" width="14.42578125" customWidth="1"/>
    <col min="14855" max="14855" width="13.140625" customWidth="1"/>
    <col min="14857" max="14857" width="15.5703125" customWidth="1"/>
    <col min="14859" max="14859" width="14.7109375" customWidth="1"/>
    <col min="14861" max="14861" width="12.7109375" customWidth="1"/>
    <col min="14862" max="14862" width="14.140625" customWidth="1"/>
    <col min="14863" max="14863" width="11.7109375" customWidth="1"/>
    <col min="14864" max="14864" width="14.42578125" customWidth="1"/>
    <col min="14865" max="14865" width="22.42578125" customWidth="1"/>
    <col min="14866" max="14866" width="12.85546875" customWidth="1"/>
    <col min="14867" max="14867" width="12" bestFit="1" customWidth="1"/>
    <col min="15105" max="15105" width="14.28515625" customWidth="1"/>
    <col min="15106" max="15106" width="14.5703125" customWidth="1"/>
    <col min="15107" max="15107" width="13.85546875" customWidth="1"/>
    <col min="15109" max="15109" width="14.42578125" customWidth="1"/>
    <col min="15111" max="15111" width="13.140625" customWidth="1"/>
    <col min="15113" max="15113" width="15.5703125" customWidth="1"/>
    <col min="15115" max="15115" width="14.7109375" customWidth="1"/>
    <col min="15117" max="15117" width="12.7109375" customWidth="1"/>
    <col min="15118" max="15118" width="14.140625" customWidth="1"/>
    <col min="15119" max="15119" width="11.7109375" customWidth="1"/>
    <col min="15120" max="15120" width="14.42578125" customWidth="1"/>
    <col min="15121" max="15121" width="22.42578125" customWidth="1"/>
    <col min="15122" max="15122" width="12.85546875" customWidth="1"/>
    <col min="15123" max="15123" width="12" bestFit="1" customWidth="1"/>
    <col min="15361" max="15361" width="14.28515625" customWidth="1"/>
    <col min="15362" max="15362" width="14.5703125" customWidth="1"/>
    <col min="15363" max="15363" width="13.85546875" customWidth="1"/>
    <col min="15365" max="15365" width="14.42578125" customWidth="1"/>
    <col min="15367" max="15367" width="13.140625" customWidth="1"/>
    <col min="15369" max="15369" width="15.5703125" customWidth="1"/>
    <col min="15371" max="15371" width="14.7109375" customWidth="1"/>
    <col min="15373" max="15373" width="12.7109375" customWidth="1"/>
    <col min="15374" max="15374" width="14.140625" customWidth="1"/>
    <col min="15375" max="15375" width="11.7109375" customWidth="1"/>
    <col min="15376" max="15376" width="14.42578125" customWidth="1"/>
    <col min="15377" max="15377" width="22.42578125" customWidth="1"/>
    <col min="15378" max="15378" width="12.85546875" customWidth="1"/>
    <col min="15379" max="15379" width="12" bestFit="1" customWidth="1"/>
    <col min="15617" max="15617" width="14.28515625" customWidth="1"/>
    <col min="15618" max="15618" width="14.5703125" customWidth="1"/>
    <col min="15619" max="15619" width="13.85546875" customWidth="1"/>
    <col min="15621" max="15621" width="14.42578125" customWidth="1"/>
    <col min="15623" max="15623" width="13.140625" customWidth="1"/>
    <col min="15625" max="15625" width="15.5703125" customWidth="1"/>
    <col min="15627" max="15627" width="14.7109375" customWidth="1"/>
    <col min="15629" max="15629" width="12.7109375" customWidth="1"/>
    <col min="15630" max="15630" width="14.140625" customWidth="1"/>
    <col min="15631" max="15631" width="11.7109375" customWidth="1"/>
    <col min="15632" max="15632" width="14.42578125" customWidth="1"/>
    <col min="15633" max="15633" width="22.42578125" customWidth="1"/>
    <col min="15634" max="15634" width="12.85546875" customWidth="1"/>
    <col min="15635" max="15635" width="12" bestFit="1" customWidth="1"/>
    <col min="15873" max="15873" width="14.28515625" customWidth="1"/>
    <col min="15874" max="15874" width="14.5703125" customWidth="1"/>
    <col min="15875" max="15875" width="13.85546875" customWidth="1"/>
    <col min="15877" max="15877" width="14.42578125" customWidth="1"/>
    <col min="15879" max="15879" width="13.140625" customWidth="1"/>
    <col min="15881" max="15881" width="15.5703125" customWidth="1"/>
    <col min="15883" max="15883" width="14.7109375" customWidth="1"/>
    <col min="15885" max="15885" width="12.7109375" customWidth="1"/>
    <col min="15886" max="15886" width="14.140625" customWidth="1"/>
    <col min="15887" max="15887" width="11.7109375" customWidth="1"/>
    <col min="15888" max="15888" width="14.42578125" customWidth="1"/>
    <col min="15889" max="15889" width="22.42578125" customWidth="1"/>
    <col min="15890" max="15890" width="12.85546875" customWidth="1"/>
    <col min="15891" max="15891" width="12" bestFit="1" customWidth="1"/>
    <col min="16129" max="16129" width="14.28515625" customWidth="1"/>
    <col min="16130" max="16130" width="14.5703125" customWidth="1"/>
    <col min="16131" max="16131" width="13.85546875" customWidth="1"/>
    <col min="16133" max="16133" width="14.42578125" customWidth="1"/>
    <col min="16135" max="16135" width="13.140625" customWidth="1"/>
    <col min="16137" max="16137" width="15.5703125" customWidth="1"/>
    <col min="16139" max="16139" width="14.7109375" customWidth="1"/>
    <col min="16141" max="16141" width="12.7109375" customWidth="1"/>
    <col min="16142" max="16142" width="14.140625" customWidth="1"/>
    <col min="16143" max="16143" width="11.7109375" customWidth="1"/>
    <col min="16144" max="16144" width="14.42578125" customWidth="1"/>
    <col min="16145" max="16145" width="22.42578125" customWidth="1"/>
    <col min="16146" max="16146" width="12.85546875" customWidth="1"/>
    <col min="16147" max="16147" width="12" bestFit="1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11</v>
      </c>
      <c r="B6">
        <v>0</v>
      </c>
      <c r="C6">
        <v>904.25216</v>
      </c>
      <c r="D6">
        <v>0</v>
      </c>
      <c r="E6">
        <v>763.61137999999994</v>
      </c>
      <c r="G6">
        <v>301.37435999999997</v>
      </c>
      <c r="H6">
        <v>0</v>
      </c>
      <c r="I6">
        <v>109.10718</v>
      </c>
      <c r="J6">
        <v>0</v>
      </c>
      <c r="K6">
        <v>43.543807999999999</v>
      </c>
      <c r="L6">
        <v>0</v>
      </c>
      <c r="M6">
        <v>18.904605999999998</v>
      </c>
      <c r="N6">
        <v>1</v>
      </c>
      <c r="O6">
        <v>8.719456199999998</v>
      </c>
      <c r="P6" s="3">
        <f>(B6*C6)+(D6*E6)+(F6*G6)+(H6*I6)+(J6*K6)+(L6*M6)+(N6*O6)</f>
        <v>8.719456199999998</v>
      </c>
    </row>
    <row r="7" spans="1:19" x14ac:dyDescent="0.2">
      <c r="A7">
        <v>10000</v>
      </c>
      <c r="B7">
        <v>115</v>
      </c>
      <c r="C7">
        <v>904.25216</v>
      </c>
      <c r="D7">
        <v>25</v>
      </c>
      <c r="E7">
        <v>763.61137999999994</v>
      </c>
      <c r="F7">
        <v>71</v>
      </c>
      <c r="G7">
        <v>301.37435999999997</v>
      </c>
      <c r="H7">
        <v>150</v>
      </c>
      <c r="I7">
        <v>109.10718</v>
      </c>
      <c r="J7">
        <v>301</v>
      </c>
      <c r="K7">
        <v>43.543807999999999</v>
      </c>
      <c r="L7">
        <v>347</v>
      </c>
      <c r="M7">
        <v>18.904605999999998</v>
      </c>
      <c r="N7">
        <v>315</v>
      </c>
      <c r="O7">
        <v>8.719456199999998</v>
      </c>
      <c r="P7" s="3">
        <f t="shared" ref="P7:P21" si="0">(B7*C7)+(D7*E7)+(F7*G7)+(H7*I7)+(J7*K7)+(L7*M7)+(N7*O7)</f>
        <v>183256.15265299997</v>
      </c>
    </row>
    <row r="8" spans="1:19" x14ac:dyDescent="0.2">
      <c r="A8">
        <v>20000</v>
      </c>
      <c r="B8">
        <v>60</v>
      </c>
      <c r="C8">
        <v>904.25216</v>
      </c>
      <c r="D8">
        <v>75</v>
      </c>
      <c r="E8">
        <v>763.61137999999994</v>
      </c>
      <c r="F8">
        <v>199</v>
      </c>
      <c r="G8">
        <v>301.37435999999997</v>
      </c>
      <c r="H8">
        <v>480</v>
      </c>
      <c r="I8">
        <v>109.10718</v>
      </c>
      <c r="J8">
        <v>870</v>
      </c>
      <c r="K8">
        <v>43.543807999999999</v>
      </c>
      <c r="L8">
        <v>806</v>
      </c>
      <c r="M8">
        <v>18.904605999999998</v>
      </c>
      <c r="N8">
        <v>555</v>
      </c>
      <c r="O8">
        <v>8.719456199999998</v>
      </c>
      <c r="P8" s="3">
        <f t="shared" si="0"/>
        <v>281830.45072700002</v>
      </c>
    </row>
    <row r="9" spans="1:19" x14ac:dyDescent="0.2">
      <c r="A9">
        <v>30000</v>
      </c>
      <c r="B9">
        <v>21</v>
      </c>
      <c r="C9">
        <v>904.25216</v>
      </c>
      <c r="D9">
        <v>40</v>
      </c>
      <c r="E9">
        <v>763.61137999999994</v>
      </c>
      <c r="F9">
        <v>108</v>
      </c>
      <c r="G9">
        <v>301.37435999999997</v>
      </c>
      <c r="H9">
        <v>267</v>
      </c>
      <c r="I9">
        <v>109.10718</v>
      </c>
      <c r="J9">
        <v>466</v>
      </c>
      <c r="K9">
        <v>43.543807999999999</v>
      </c>
      <c r="L9">
        <v>540</v>
      </c>
      <c r="M9">
        <v>18.904605999999998</v>
      </c>
      <c r="N9">
        <v>375</v>
      </c>
      <c r="O9">
        <v>8.719456199999998</v>
      </c>
      <c r="P9" s="3">
        <f t="shared" si="0"/>
        <v>144983.49634299998</v>
      </c>
    </row>
    <row r="10" spans="1:19" x14ac:dyDescent="0.2">
      <c r="A10">
        <v>40000</v>
      </c>
      <c r="B10">
        <v>11</v>
      </c>
      <c r="C10">
        <v>904.25216</v>
      </c>
      <c r="D10">
        <v>14</v>
      </c>
      <c r="E10">
        <v>763.61137999999994</v>
      </c>
      <c r="F10">
        <v>47</v>
      </c>
      <c r="G10">
        <v>301.37435999999997</v>
      </c>
      <c r="H10">
        <v>183</v>
      </c>
      <c r="I10">
        <v>109.10718</v>
      </c>
      <c r="J10">
        <v>320</v>
      </c>
      <c r="K10">
        <v>43.543807999999999</v>
      </c>
      <c r="L10">
        <v>329</v>
      </c>
      <c r="M10">
        <v>18.904605999999998</v>
      </c>
      <c r="N10">
        <v>228</v>
      </c>
      <c r="O10">
        <v>8.719456199999998</v>
      </c>
      <c r="P10" s="3">
        <f t="shared" si="0"/>
        <v>76910.211887599988</v>
      </c>
    </row>
    <row r="11" spans="1:19" x14ac:dyDescent="0.2">
      <c r="A11">
        <v>50000</v>
      </c>
      <c r="B11">
        <v>6</v>
      </c>
      <c r="C11">
        <v>904.25216</v>
      </c>
      <c r="D11">
        <v>11</v>
      </c>
      <c r="E11">
        <v>763.61137999999994</v>
      </c>
      <c r="F11">
        <v>36</v>
      </c>
      <c r="G11">
        <v>301.37435999999997</v>
      </c>
      <c r="H11">
        <v>130</v>
      </c>
      <c r="I11">
        <v>109.10718</v>
      </c>
      <c r="J11">
        <v>215</v>
      </c>
      <c r="K11">
        <v>43.543807999999999</v>
      </c>
      <c r="L11">
        <v>264</v>
      </c>
      <c r="M11">
        <v>18.904605999999998</v>
      </c>
      <c r="N11">
        <v>174</v>
      </c>
      <c r="O11">
        <v>8.719456199999998</v>
      </c>
      <c r="P11" s="3">
        <f t="shared" si="0"/>
        <v>54728.568582799999</v>
      </c>
      <c r="Q11" s="3">
        <f t="shared" ref="Q11:Q19" si="1">Q12+P11</f>
        <v>229686.9519014</v>
      </c>
      <c r="R11">
        <v>4071551</v>
      </c>
      <c r="S11" s="22">
        <f t="shared" ref="S11:S20" si="2">(Q11/R11)*100</f>
        <v>5.641264272543804</v>
      </c>
    </row>
    <row r="12" spans="1:19" x14ac:dyDescent="0.2">
      <c r="A12">
        <v>60000</v>
      </c>
      <c r="B12">
        <v>9</v>
      </c>
      <c r="C12">
        <v>904.25216</v>
      </c>
      <c r="D12">
        <v>12</v>
      </c>
      <c r="E12">
        <v>763.61137999999994</v>
      </c>
      <c r="F12">
        <v>51</v>
      </c>
      <c r="G12">
        <v>301.37435999999997</v>
      </c>
      <c r="H12">
        <v>126</v>
      </c>
      <c r="I12">
        <v>109.10718</v>
      </c>
      <c r="J12">
        <v>299</v>
      </c>
      <c r="K12">
        <v>43.543807999999999</v>
      </c>
      <c r="L12">
        <v>367</v>
      </c>
      <c r="M12">
        <v>18.904605999999998</v>
      </c>
      <c r="N12">
        <v>226</v>
      </c>
      <c r="O12">
        <v>8.719456199999998</v>
      </c>
      <c r="P12" s="3">
        <f t="shared" si="0"/>
        <v>68347.389135199992</v>
      </c>
      <c r="Q12" s="3">
        <f t="shared" si="1"/>
        <v>174958.38331859998</v>
      </c>
      <c r="R12">
        <v>4071551</v>
      </c>
      <c r="S12" s="22">
        <f t="shared" si="2"/>
        <v>4.2970942355529864</v>
      </c>
    </row>
    <row r="13" spans="1:19" x14ac:dyDescent="0.2">
      <c r="A13">
        <v>80000</v>
      </c>
      <c r="B13">
        <v>2</v>
      </c>
      <c r="C13">
        <v>904.25216</v>
      </c>
      <c r="D13">
        <v>8</v>
      </c>
      <c r="E13">
        <v>763.61137999999994</v>
      </c>
      <c r="F13">
        <v>30</v>
      </c>
      <c r="G13">
        <v>301.37435999999997</v>
      </c>
      <c r="H13">
        <v>74</v>
      </c>
      <c r="I13">
        <v>109.10718</v>
      </c>
      <c r="J13">
        <v>158</v>
      </c>
      <c r="K13">
        <v>43.543807999999999</v>
      </c>
      <c r="L13">
        <v>212</v>
      </c>
      <c r="M13">
        <v>18.904605999999998</v>
      </c>
      <c r="N13">
        <v>127</v>
      </c>
      <c r="O13">
        <v>8.719456199999998</v>
      </c>
      <c r="P13" s="3">
        <f t="shared" si="0"/>
        <v>37027.626553399998</v>
      </c>
      <c r="Q13" s="3">
        <f t="shared" si="1"/>
        <v>106610.99418339999</v>
      </c>
      <c r="R13">
        <v>4071551</v>
      </c>
      <c r="S13" s="22">
        <f t="shared" si="2"/>
        <v>2.6184369097525733</v>
      </c>
    </row>
    <row r="14" spans="1:19" x14ac:dyDescent="0.2">
      <c r="A14">
        <v>100000</v>
      </c>
      <c r="B14">
        <v>2</v>
      </c>
      <c r="C14">
        <v>904.25216</v>
      </c>
      <c r="D14">
        <v>2</v>
      </c>
      <c r="E14">
        <v>763.61137999999994</v>
      </c>
      <c r="F14">
        <v>13</v>
      </c>
      <c r="G14">
        <v>301.37435999999997</v>
      </c>
      <c r="H14">
        <v>49</v>
      </c>
      <c r="I14">
        <v>109.10718</v>
      </c>
      <c r="J14">
        <v>108</v>
      </c>
      <c r="K14">
        <v>43.543807999999999</v>
      </c>
      <c r="L14">
        <v>119</v>
      </c>
      <c r="M14">
        <v>18.904605999999998</v>
      </c>
      <c r="N14">
        <v>94</v>
      </c>
      <c r="O14">
        <v>8.719456199999998</v>
      </c>
      <c r="P14" s="3">
        <f t="shared" si="0"/>
        <v>20371.853840800002</v>
      </c>
      <c r="Q14" s="3">
        <f t="shared" si="1"/>
        <v>69583.367629999993</v>
      </c>
      <c r="R14">
        <v>4071551</v>
      </c>
      <c r="S14" s="22">
        <f t="shared" si="2"/>
        <v>1.7090137795154718</v>
      </c>
    </row>
    <row r="15" spans="1:19" x14ac:dyDescent="0.2">
      <c r="A15">
        <v>120000</v>
      </c>
      <c r="B15">
        <v>0</v>
      </c>
      <c r="C15">
        <v>904.25216</v>
      </c>
      <c r="D15">
        <v>2</v>
      </c>
      <c r="E15">
        <v>763.61137999999994</v>
      </c>
      <c r="F15">
        <v>12</v>
      </c>
      <c r="G15">
        <v>301.37435999999997</v>
      </c>
      <c r="H15">
        <v>29</v>
      </c>
      <c r="I15">
        <v>109.10718</v>
      </c>
      <c r="J15">
        <v>64</v>
      </c>
      <c r="K15">
        <v>43.543807999999999</v>
      </c>
      <c r="L15">
        <v>73</v>
      </c>
      <c r="M15">
        <v>18.904605999999998</v>
      </c>
      <c r="N15">
        <v>61</v>
      </c>
      <c r="O15">
        <v>8.719456199999998</v>
      </c>
      <c r="P15" s="3">
        <f t="shared" si="0"/>
        <v>13006.550078200002</v>
      </c>
      <c r="Q15" s="3">
        <f t="shared" si="1"/>
        <v>49211.513789199998</v>
      </c>
      <c r="R15">
        <v>4071551</v>
      </c>
      <c r="S15" s="22">
        <f t="shared" si="2"/>
        <v>1.2086675026101845</v>
      </c>
    </row>
    <row r="16" spans="1:19" x14ac:dyDescent="0.2">
      <c r="A16">
        <v>140000</v>
      </c>
      <c r="B16">
        <v>3</v>
      </c>
      <c r="C16">
        <v>904.25216</v>
      </c>
      <c r="D16">
        <v>0</v>
      </c>
      <c r="E16">
        <v>763.61137999999994</v>
      </c>
      <c r="F16">
        <v>11</v>
      </c>
      <c r="G16">
        <v>301.37435999999997</v>
      </c>
      <c r="H16">
        <v>47</v>
      </c>
      <c r="I16">
        <v>109.10718</v>
      </c>
      <c r="J16">
        <v>113</v>
      </c>
      <c r="K16">
        <v>43.543807999999999</v>
      </c>
      <c r="L16">
        <v>103</v>
      </c>
      <c r="M16">
        <v>18.904605999999998</v>
      </c>
      <c r="N16">
        <v>104</v>
      </c>
      <c r="O16">
        <v>8.719456199999998</v>
      </c>
      <c r="P16" s="3">
        <f t="shared" si="0"/>
        <v>18930.3600668</v>
      </c>
      <c r="Q16" s="3">
        <f t="shared" si="1"/>
        <v>36204.963710999997</v>
      </c>
      <c r="R16">
        <v>4071551</v>
      </c>
      <c r="S16" s="22">
        <f t="shared" si="2"/>
        <v>0.88921798378554018</v>
      </c>
    </row>
    <row r="17" spans="1:19" x14ac:dyDescent="0.2">
      <c r="A17">
        <v>200000</v>
      </c>
      <c r="B17">
        <v>0</v>
      </c>
      <c r="C17">
        <v>904.25216</v>
      </c>
      <c r="D17">
        <v>3</v>
      </c>
      <c r="E17">
        <v>763.61137999999994</v>
      </c>
      <c r="F17">
        <v>10</v>
      </c>
      <c r="G17">
        <v>301.37435999999997</v>
      </c>
      <c r="H17">
        <v>26</v>
      </c>
      <c r="I17">
        <v>109.10718</v>
      </c>
      <c r="J17">
        <v>56</v>
      </c>
      <c r="K17">
        <v>43.543807999999999</v>
      </c>
      <c r="L17">
        <v>87</v>
      </c>
      <c r="M17">
        <v>18.904605999999998</v>
      </c>
      <c r="N17">
        <v>63</v>
      </c>
      <c r="O17">
        <v>8.719456199999998</v>
      </c>
      <c r="P17" s="3">
        <f t="shared" si="0"/>
        <v>12773.844130599999</v>
      </c>
      <c r="Q17" s="3">
        <f t="shared" si="1"/>
        <v>17274.603644199997</v>
      </c>
      <c r="R17">
        <v>4071551</v>
      </c>
      <c r="S17" s="23">
        <f t="shared" si="2"/>
        <v>0.42427575251298577</v>
      </c>
    </row>
    <row r="18" spans="1:19" x14ac:dyDescent="0.2">
      <c r="A18">
        <v>350000</v>
      </c>
      <c r="B18">
        <v>0</v>
      </c>
      <c r="C18">
        <v>904.25216</v>
      </c>
      <c r="D18">
        <v>0</v>
      </c>
      <c r="E18">
        <v>763.61137999999994</v>
      </c>
      <c r="F18">
        <v>3</v>
      </c>
      <c r="G18">
        <v>301.37435999999997</v>
      </c>
      <c r="H18">
        <v>0</v>
      </c>
      <c r="I18">
        <v>109.10718</v>
      </c>
      <c r="J18">
        <v>22</v>
      </c>
      <c r="K18">
        <v>43.543807999999999</v>
      </c>
      <c r="L18">
        <v>21</v>
      </c>
      <c r="M18">
        <v>18.904605999999998</v>
      </c>
      <c r="N18">
        <v>19</v>
      </c>
      <c r="O18">
        <v>8.719456199999998</v>
      </c>
      <c r="P18" s="3">
        <f t="shared" si="0"/>
        <v>2424.7532497999996</v>
      </c>
      <c r="Q18" s="3">
        <f t="shared" si="1"/>
        <v>4500.7595136</v>
      </c>
      <c r="R18">
        <v>4071551</v>
      </c>
      <c r="S18" s="22">
        <f t="shared" si="2"/>
        <v>0.11054164650277007</v>
      </c>
    </row>
    <row r="19" spans="1:19" x14ac:dyDescent="0.2">
      <c r="A19">
        <v>500000</v>
      </c>
      <c r="B19">
        <v>0</v>
      </c>
      <c r="C19">
        <v>904.25216</v>
      </c>
      <c r="D19">
        <v>0</v>
      </c>
      <c r="E19">
        <v>763.61137999999994</v>
      </c>
      <c r="F19">
        <v>0</v>
      </c>
      <c r="G19">
        <v>301.37435999999997</v>
      </c>
      <c r="H19">
        <v>10</v>
      </c>
      <c r="I19">
        <v>109.10718</v>
      </c>
      <c r="J19">
        <v>7</v>
      </c>
      <c r="K19">
        <v>43.543807999999999</v>
      </c>
      <c r="L19">
        <v>14</v>
      </c>
      <c r="M19">
        <v>18.904605999999998</v>
      </c>
      <c r="N19">
        <v>0</v>
      </c>
      <c r="O19">
        <v>8.719456199999998</v>
      </c>
      <c r="P19" s="3">
        <f t="shared" si="0"/>
        <v>1660.5429399999998</v>
      </c>
      <c r="Q19" s="3">
        <f t="shared" si="1"/>
        <v>2076.0062637999999</v>
      </c>
      <c r="R19">
        <v>4071551</v>
      </c>
      <c r="S19" s="22">
        <f t="shared" si="2"/>
        <v>5.0988094310988608E-2</v>
      </c>
    </row>
    <row r="20" spans="1:19" x14ac:dyDescent="0.2">
      <c r="A20" t="s">
        <v>12</v>
      </c>
      <c r="B20">
        <v>0</v>
      </c>
      <c r="C20">
        <v>904.25216</v>
      </c>
      <c r="D20">
        <v>0</v>
      </c>
      <c r="E20">
        <v>763.61137999999994</v>
      </c>
      <c r="G20">
        <v>301.37435999999997</v>
      </c>
      <c r="H20">
        <v>0</v>
      </c>
      <c r="I20">
        <v>109.10718</v>
      </c>
      <c r="J20">
        <v>4</v>
      </c>
      <c r="K20">
        <v>43.543807999999999</v>
      </c>
      <c r="L20">
        <v>4</v>
      </c>
      <c r="M20">
        <v>18.904605999999998</v>
      </c>
      <c r="N20">
        <v>19</v>
      </c>
      <c r="O20">
        <v>8.719456199999998</v>
      </c>
      <c r="P20" s="3">
        <f t="shared" si="0"/>
        <v>415.46332379999996</v>
      </c>
      <c r="Q20" s="3">
        <f>P20</f>
        <v>415.46332379999996</v>
      </c>
      <c r="R20">
        <v>4071551</v>
      </c>
      <c r="S20" s="22">
        <f t="shared" si="2"/>
        <v>1.0204055501208261E-2</v>
      </c>
    </row>
    <row r="21" spans="1:19" x14ac:dyDescent="0.2">
      <c r="A21" t="s">
        <v>3</v>
      </c>
      <c r="B21">
        <f t="shared" ref="B21:N21" si="3">SUM(B6:B20)</f>
        <v>229</v>
      </c>
      <c r="C21">
        <v>904.25216</v>
      </c>
      <c r="D21">
        <f t="shared" si="3"/>
        <v>192</v>
      </c>
      <c r="E21">
        <v>763.61137999999994</v>
      </c>
      <c r="F21">
        <v>591</v>
      </c>
      <c r="G21">
        <v>301.37435999999997</v>
      </c>
      <c r="H21">
        <f t="shared" si="3"/>
        <v>1571</v>
      </c>
      <c r="I21">
        <v>109.10718</v>
      </c>
      <c r="J21">
        <f t="shared" si="3"/>
        <v>3003</v>
      </c>
      <c r="K21">
        <v>43.543807999999999</v>
      </c>
      <c r="L21">
        <f t="shared" si="3"/>
        <v>3286</v>
      </c>
      <c r="M21">
        <v>18.904605999999998</v>
      </c>
      <c r="N21">
        <f t="shared" si="3"/>
        <v>2361</v>
      </c>
      <c r="O21">
        <v>8.719456199999998</v>
      </c>
      <c r="P21" s="3">
        <f t="shared" si="0"/>
        <v>916675.9829682</v>
      </c>
      <c r="S21" s="22"/>
    </row>
    <row r="26" spans="1:19" x14ac:dyDescent="0.2">
      <c r="A26" s="19"/>
    </row>
    <row r="27" spans="1:19" x14ac:dyDescent="0.2">
      <c r="A27" s="19"/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83</v>
      </c>
      <c r="B32" s="14">
        <v>5.0000000000000001E-4</v>
      </c>
      <c r="C32" s="4">
        <f>S20/100</f>
        <v>1.020405550120826E-4</v>
      </c>
      <c r="D32">
        <f>S19/100</f>
        <v>5.0988094310988608E-4</v>
      </c>
      <c r="E32">
        <v>1000000</v>
      </c>
      <c r="F32">
        <v>500000</v>
      </c>
      <c r="G32">
        <f t="shared" ref="G32:G37" si="4">D32/C32</f>
        <v>4.9968460388079148</v>
      </c>
      <c r="H32">
        <f t="shared" ref="H32:H37" si="5">LN(G32)</f>
        <v>1.608806921162556</v>
      </c>
      <c r="I32">
        <f t="shared" ref="I32:I37" si="6">E32/F32</f>
        <v>2</v>
      </c>
      <c r="J32">
        <f t="shared" ref="J32:J37" si="7">LN(I32)</f>
        <v>0.69314718055994529</v>
      </c>
      <c r="K32" s="4">
        <f t="shared" ref="K32:K37" si="8">H32/J32</f>
        <v>2.321017766909061</v>
      </c>
      <c r="L32" s="4">
        <f t="shared" ref="L32:L37" si="9">F32*POWER(D32,1/K32)</f>
        <v>19072.069923535197</v>
      </c>
      <c r="M32" s="20">
        <f t="shared" ref="M32:M37" si="10">POWER(B32,1/K32)</f>
        <v>3.7823887814698871E-2</v>
      </c>
      <c r="N32" s="8">
        <f t="shared" ref="N32:N37" si="11">L32/M32</f>
        <v>504233.46264588734</v>
      </c>
      <c r="O32" s="5">
        <v>4071551</v>
      </c>
      <c r="P32" s="8">
        <f>O32*(K32/(1-K32))*POWER(L32,K32)*(-1)*POWER(N32,1-K32)</f>
        <v>1803563149.6960976</v>
      </c>
      <c r="Q32" s="9">
        <f t="shared" ref="Q32:Q37" si="12">B32*O32</f>
        <v>2035.7755</v>
      </c>
      <c r="R32" s="8">
        <f t="shared" ref="R32:R37" si="13">P32/Q32</f>
        <v>885934.20526777022</v>
      </c>
      <c r="S32" s="4">
        <f t="shared" ref="S32:S37" si="14">P32*7.5672*1.23</f>
        <v>16786945371.647781</v>
      </c>
    </row>
    <row r="33" spans="1:19" x14ac:dyDescent="0.2">
      <c r="A33" t="s">
        <v>75</v>
      </c>
      <c r="B33" s="14">
        <v>1E-3</v>
      </c>
      <c r="C33" s="4">
        <f>S19/100</f>
        <v>5.0988094310988608E-4</v>
      </c>
      <c r="D33">
        <f>S18/100</f>
        <v>1.1054164650277007E-3</v>
      </c>
      <c r="E33">
        <v>500000</v>
      </c>
      <c r="F33">
        <v>350000</v>
      </c>
      <c r="G33">
        <f t="shared" si="4"/>
        <v>2.1679893707842868</v>
      </c>
      <c r="H33">
        <f t="shared" si="5"/>
        <v>0.77380018079060564</v>
      </c>
      <c r="I33">
        <f t="shared" si="6"/>
        <v>1.4285714285714286</v>
      </c>
      <c r="J33">
        <f t="shared" si="7"/>
        <v>0.35667494393873239</v>
      </c>
      <c r="K33" s="4">
        <f t="shared" si="8"/>
        <v>2.1694828693195918</v>
      </c>
      <c r="L33" s="4">
        <f t="shared" si="9"/>
        <v>15181.43554244109</v>
      </c>
      <c r="M33" s="20">
        <f t="shared" si="10"/>
        <v>4.1417318968929515E-2</v>
      </c>
      <c r="N33" s="8">
        <f t="shared" si="11"/>
        <v>366548.0026321818</v>
      </c>
      <c r="O33" s="5">
        <v>4071551</v>
      </c>
      <c r="P33" s="8">
        <f>O33*(K33/(1-K33))*POWER(L33,K33)*(POWER(N32,1-K33)-POWER(N33,1-K33))+P32</f>
        <v>2665433536.6757627</v>
      </c>
      <c r="Q33" s="9">
        <f t="shared" si="12"/>
        <v>4071.5509999999999</v>
      </c>
      <c r="R33" s="8">
        <f t="shared" si="13"/>
        <v>654648.20081481547</v>
      </c>
      <c r="S33" s="4">
        <f t="shared" si="14"/>
        <v>24808938450.241379</v>
      </c>
    </row>
    <row r="34" spans="1:19" x14ac:dyDescent="0.2">
      <c r="A34" t="s">
        <v>76</v>
      </c>
      <c r="B34" s="14">
        <v>2.5000000000000001E-3</v>
      </c>
      <c r="C34">
        <f>S18/100</f>
        <v>1.1054164650277007E-3</v>
      </c>
      <c r="D34">
        <f>S17/100</f>
        <v>4.2427575251298578E-3</v>
      </c>
      <c r="E34">
        <v>350000</v>
      </c>
      <c r="F34">
        <v>200000</v>
      </c>
      <c r="G34">
        <f t="shared" si="4"/>
        <v>3.8381530032878044</v>
      </c>
      <c r="H34">
        <f t="shared" si="5"/>
        <v>1.3449912621603177</v>
      </c>
      <c r="I34">
        <f t="shared" si="6"/>
        <v>1.75</v>
      </c>
      <c r="J34">
        <f t="shared" si="7"/>
        <v>0.55961578793542266</v>
      </c>
      <c r="K34" s="4">
        <f t="shared" si="8"/>
        <v>2.4034190799411901</v>
      </c>
      <c r="L34" s="4">
        <f t="shared" si="9"/>
        <v>20604.225096549431</v>
      </c>
      <c r="M34" s="20">
        <f t="shared" si="10"/>
        <v>8.2670525291840477E-2</v>
      </c>
      <c r="N34" s="8">
        <f t="shared" si="11"/>
        <v>249233.0249966738</v>
      </c>
      <c r="O34" s="5">
        <v>4071551</v>
      </c>
      <c r="P34" s="8">
        <f>O34*(K34/(1-K34))*POWER(L34,K34)*(POWER(N33,1-K34)-POWER(N34,1-K34))+P33</f>
        <v>4481648478.8773308</v>
      </c>
      <c r="Q34" s="9">
        <f t="shared" si="12"/>
        <v>10178.877500000001</v>
      </c>
      <c r="R34" s="8">
        <f t="shared" si="13"/>
        <v>440289.06712722796</v>
      </c>
      <c r="S34" s="4">
        <f t="shared" si="14"/>
        <v>41713642354.313454</v>
      </c>
    </row>
    <row r="35" spans="1:19" x14ac:dyDescent="0.2">
      <c r="A35" t="s">
        <v>70</v>
      </c>
      <c r="B35" s="14">
        <v>5.0000000000000001E-3</v>
      </c>
      <c r="C35">
        <f>S17/100</f>
        <v>4.2427575251298578E-3</v>
      </c>
      <c r="D35">
        <f>S16/100</f>
        <v>8.8921798378554014E-3</v>
      </c>
      <c r="E35">
        <v>200000</v>
      </c>
      <c r="F35">
        <v>140000</v>
      </c>
      <c r="G35">
        <f t="shared" si="4"/>
        <v>2.0958491700708821</v>
      </c>
      <c r="H35">
        <f t="shared" si="5"/>
        <v>0.73995880302544514</v>
      </c>
      <c r="I35">
        <f t="shared" si="6"/>
        <v>1.4285714285714286</v>
      </c>
      <c r="J35">
        <f t="shared" si="7"/>
        <v>0.35667494393873239</v>
      </c>
      <c r="K35" s="4">
        <f t="shared" si="8"/>
        <v>2.0746027036666503</v>
      </c>
      <c r="L35" s="4">
        <f t="shared" si="9"/>
        <v>14371.727749010208</v>
      </c>
      <c r="M35" s="20">
        <f t="shared" si="10"/>
        <v>7.7778133382279055E-2</v>
      </c>
      <c r="N35" s="8">
        <f t="shared" si="11"/>
        <v>184778.51195493795</v>
      </c>
      <c r="O35" s="5">
        <v>4071551</v>
      </c>
      <c r="P35" s="8">
        <f>O35*(K35/(1-K35))*POWER(L35,K35)*(POWER(N34,1-K35)-POWER(N35,1-K35))+P34</f>
        <v>6478597295.6182404</v>
      </c>
      <c r="Q35" s="9">
        <f t="shared" si="12"/>
        <v>20357.755000000001</v>
      </c>
      <c r="R35" s="8">
        <f t="shared" si="13"/>
        <v>318237.3152451358</v>
      </c>
      <c r="S35" s="4">
        <f t="shared" si="14"/>
        <v>60300554990.144882</v>
      </c>
    </row>
    <row r="36" spans="1:19" x14ac:dyDescent="0.2">
      <c r="A36" t="s">
        <v>73</v>
      </c>
      <c r="B36" s="14">
        <v>0.01</v>
      </c>
      <c r="C36">
        <f>S16/100</f>
        <v>8.8921798378554014E-3</v>
      </c>
      <c r="D36">
        <f>S15/100</f>
        <v>1.2086675026101844E-2</v>
      </c>
      <c r="E36">
        <v>140000</v>
      </c>
      <c r="F36">
        <v>120000</v>
      </c>
      <c r="G36">
        <f t="shared" si="4"/>
        <v>1.359247703768538</v>
      </c>
      <c r="H36">
        <f t="shared" si="5"/>
        <v>0.30693138770535955</v>
      </c>
      <c r="I36">
        <f t="shared" si="6"/>
        <v>1.1666666666666667</v>
      </c>
      <c r="J36">
        <f t="shared" si="7"/>
        <v>0.15415067982725836</v>
      </c>
      <c r="K36" s="4">
        <f t="shared" si="8"/>
        <v>1.9911127738736387</v>
      </c>
      <c r="L36" s="4">
        <f t="shared" si="9"/>
        <v>13063.360381273509</v>
      </c>
      <c r="M36" s="20">
        <f t="shared" si="10"/>
        <v>9.8977516641028607E-2</v>
      </c>
      <c r="N36" s="8">
        <f t="shared" si="11"/>
        <v>131983.10914034821</v>
      </c>
      <c r="O36" s="5">
        <v>4071551</v>
      </c>
      <c r="P36" s="8">
        <f>O36*(K36/(1-K36))*POWER(L36,K36)*(POWER(N35,1-K36)-POWER(N36,1-K36))+P35</f>
        <v>9540080681.4196205</v>
      </c>
      <c r="Q36" s="9">
        <f t="shared" si="12"/>
        <v>40715.51</v>
      </c>
      <c r="R36" s="8">
        <f t="shared" si="13"/>
        <v>234310.72535796851</v>
      </c>
      <c r="S36" s="4">
        <f t="shared" si="14"/>
        <v>88795789194.899414</v>
      </c>
    </row>
    <row r="37" spans="1:19" x14ac:dyDescent="0.2">
      <c r="A37" t="s">
        <v>74</v>
      </c>
      <c r="B37" s="14">
        <v>0.02</v>
      </c>
      <c r="C37">
        <f>S14/100</f>
        <v>1.7090137795154718E-2</v>
      </c>
      <c r="D37">
        <f>S13/100</f>
        <v>2.6184369097525733E-2</v>
      </c>
      <c r="E37">
        <v>100000</v>
      </c>
      <c r="F37">
        <v>80000</v>
      </c>
      <c r="G37">
        <f t="shared" si="4"/>
        <v>1.532133292977272</v>
      </c>
      <c r="H37">
        <f t="shared" si="5"/>
        <v>0.42666107339344739</v>
      </c>
      <c r="I37">
        <f t="shared" si="6"/>
        <v>1.25</v>
      </c>
      <c r="J37">
        <f t="shared" si="7"/>
        <v>0.22314355131420976</v>
      </c>
      <c r="K37" s="4">
        <f t="shared" si="8"/>
        <v>1.9120475177553458</v>
      </c>
      <c r="L37" s="4">
        <f t="shared" si="9"/>
        <v>11904.926472699548</v>
      </c>
      <c r="M37" s="20">
        <f t="shared" si="10"/>
        <v>0.12925264661436608</v>
      </c>
      <c r="N37" s="8">
        <f t="shared" si="11"/>
        <v>92105.862313355115</v>
      </c>
      <c r="O37" s="5">
        <f>R17</f>
        <v>4071551</v>
      </c>
      <c r="P37" s="8">
        <f>O37*(K37/(1-K37))*POWER(L37,K37)*(POWER(N36,1-K37)-POWER(N37,1-K37))+P36</f>
        <v>13938129668.203884</v>
      </c>
      <c r="Q37" s="9">
        <f t="shared" si="12"/>
        <v>81431.02</v>
      </c>
      <c r="R37" s="8">
        <f t="shared" si="13"/>
        <v>171164.86651160556</v>
      </c>
      <c r="S37" s="4">
        <f t="shared" si="14"/>
        <v>129731316235.03587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11</v>
      </c>
      <c r="B50">
        <v>0</v>
      </c>
      <c r="C50">
        <v>2271.3291999999997</v>
      </c>
      <c r="D50">
        <v>1</v>
      </c>
      <c r="E50">
        <v>1277.0589999999997</v>
      </c>
      <c r="F50">
        <v>0</v>
      </c>
      <c r="G50">
        <v>487.00245999999999</v>
      </c>
      <c r="H50">
        <v>1</v>
      </c>
      <c r="I50">
        <v>206.42356000000001</v>
      </c>
      <c r="J50">
        <v>1</v>
      </c>
      <c r="K50">
        <v>87.539563999999999</v>
      </c>
      <c r="L50">
        <v>1</v>
      </c>
      <c r="M50">
        <v>31.116204</v>
      </c>
      <c r="N50">
        <v>1</v>
      </c>
      <c r="O50">
        <v>10.798482799999999</v>
      </c>
      <c r="P50" s="3">
        <f>(B50*C50)+(D50*E50)+(F50*G50)+(H50*I50)+(J50*K50)+(L50*M50)+(N50*O50)</f>
        <v>1612.9368107999996</v>
      </c>
      <c r="Q50" s="3"/>
    </row>
    <row r="51" spans="1:19" x14ac:dyDescent="0.2">
      <c r="A51">
        <v>10000</v>
      </c>
      <c r="B51">
        <v>8</v>
      </c>
      <c r="C51">
        <v>2271.3291999999997</v>
      </c>
      <c r="D51">
        <v>4</v>
      </c>
      <c r="E51">
        <v>1277.0589999999997</v>
      </c>
      <c r="F51">
        <v>25</v>
      </c>
      <c r="G51">
        <v>487.00245999999999</v>
      </c>
      <c r="H51">
        <v>92</v>
      </c>
      <c r="I51">
        <v>206.42356000000001</v>
      </c>
      <c r="J51">
        <v>252</v>
      </c>
      <c r="K51">
        <v>87.539563999999999</v>
      </c>
      <c r="L51">
        <v>507</v>
      </c>
      <c r="M51">
        <v>31.116204</v>
      </c>
      <c r="N51">
        <v>626</v>
      </c>
      <c r="O51">
        <v>10.798482799999999</v>
      </c>
      <c r="P51" s="3">
        <f t="shared" ref="P51:P65" si="15">(B51*C51)+(D51*E51)+(F51*G51)+(H51*I51)+(J51*K51)+(L51*M51)+(N51*O51)</f>
        <v>99040.634408800019</v>
      </c>
      <c r="Q51" s="3"/>
    </row>
    <row r="52" spans="1:19" x14ac:dyDescent="0.2">
      <c r="A52">
        <v>20000</v>
      </c>
      <c r="B52">
        <v>3</v>
      </c>
      <c r="C52">
        <v>2271.3291999999997</v>
      </c>
      <c r="D52">
        <v>14</v>
      </c>
      <c r="E52">
        <v>1277.0589999999997</v>
      </c>
      <c r="F52">
        <v>41</v>
      </c>
      <c r="G52">
        <v>487.00245999999999</v>
      </c>
      <c r="H52">
        <v>174</v>
      </c>
      <c r="I52">
        <v>206.42356000000001</v>
      </c>
      <c r="J52">
        <v>344</v>
      </c>
      <c r="K52">
        <v>87.539563999999999</v>
      </c>
      <c r="L52">
        <v>621</v>
      </c>
      <c r="M52">
        <v>31.116204</v>
      </c>
      <c r="N52">
        <v>737</v>
      </c>
      <c r="O52">
        <v>10.798482799999999</v>
      </c>
      <c r="P52" s="3">
        <f t="shared" si="15"/>
        <v>137972.86842359998</v>
      </c>
      <c r="Q52" s="3"/>
    </row>
    <row r="53" spans="1:19" x14ac:dyDescent="0.2">
      <c r="A53">
        <v>30000</v>
      </c>
      <c r="B53">
        <v>1</v>
      </c>
      <c r="C53">
        <v>2271.3291999999997</v>
      </c>
      <c r="D53">
        <v>6</v>
      </c>
      <c r="E53">
        <v>1277.0589999999997</v>
      </c>
      <c r="F53">
        <v>23</v>
      </c>
      <c r="G53">
        <v>487.00245999999999</v>
      </c>
      <c r="H53">
        <v>92</v>
      </c>
      <c r="I53">
        <v>206.42356000000001</v>
      </c>
      <c r="J53">
        <v>187</v>
      </c>
      <c r="K53">
        <v>87.539563999999999</v>
      </c>
      <c r="L53">
        <v>333</v>
      </c>
      <c r="M53">
        <v>31.116204</v>
      </c>
      <c r="N53">
        <v>363</v>
      </c>
      <c r="O53">
        <v>10.798482799999999</v>
      </c>
      <c r="P53" s="3">
        <f t="shared" si="15"/>
        <v>70777.150956400001</v>
      </c>
      <c r="Q53" s="3">
        <f t="shared" ref="Q53:Q62" si="16">Q54+P53</f>
        <v>223071.2222088</v>
      </c>
      <c r="R53">
        <v>4112141</v>
      </c>
      <c r="S53">
        <f>Q53/R53*100</f>
        <v>5.4246977963255638</v>
      </c>
    </row>
    <row r="54" spans="1:19" x14ac:dyDescent="0.2">
      <c r="A54">
        <v>40000</v>
      </c>
      <c r="B54">
        <v>1</v>
      </c>
      <c r="C54">
        <v>2271.3291999999997</v>
      </c>
      <c r="D54">
        <v>2</v>
      </c>
      <c r="E54">
        <v>1277.0589999999997</v>
      </c>
      <c r="F54">
        <v>16</v>
      </c>
      <c r="G54">
        <v>487.00245999999999</v>
      </c>
      <c r="H54">
        <v>58</v>
      </c>
      <c r="I54">
        <v>206.42356000000001</v>
      </c>
      <c r="J54">
        <v>114</v>
      </c>
      <c r="K54">
        <v>87.539563999999999</v>
      </c>
      <c r="L54">
        <v>221</v>
      </c>
      <c r="M54">
        <v>31.116204</v>
      </c>
      <c r="N54">
        <v>229</v>
      </c>
      <c r="O54">
        <v>10.798482799999999</v>
      </c>
      <c r="P54" s="3">
        <f t="shared" si="15"/>
        <v>43919.096981200004</v>
      </c>
      <c r="Q54" s="3">
        <f t="shared" si="16"/>
        <v>152294.0712524</v>
      </c>
      <c r="R54">
        <v>4112141</v>
      </c>
      <c r="S54">
        <f>Q54/R54*100</f>
        <v>3.7035225993563938</v>
      </c>
    </row>
    <row r="55" spans="1:19" x14ac:dyDescent="0.2">
      <c r="A55">
        <v>50000</v>
      </c>
      <c r="B55">
        <v>0</v>
      </c>
      <c r="C55">
        <v>2271.3291999999997</v>
      </c>
      <c r="D55">
        <v>4</v>
      </c>
      <c r="E55">
        <v>1277.0589999999997</v>
      </c>
      <c r="F55">
        <v>12</v>
      </c>
      <c r="G55">
        <v>487.00245999999999</v>
      </c>
      <c r="H55">
        <v>32</v>
      </c>
      <c r="I55">
        <v>206.42356000000001</v>
      </c>
      <c r="J55">
        <v>69</v>
      </c>
      <c r="K55">
        <v>87.539563999999999</v>
      </c>
      <c r="L55">
        <v>145</v>
      </c>
      <c r="M55">
        <v>31.116204</v>
      </c>
      <c r="N55">
        <v>157</v>
      </c>
      <c r="O55">
        <v>10.798482799999999</v>
      </c>
      <c r="P55" s="3">
        <f t="shared" si="15"/>
        <v>29805.260735599997</v>
      </c>
      <c r="Q55" s="3">
        <f t="shared" si="16"/>
        <v>108374.97427119999</v>
      </c>
      <c r="R55">
        <v>4112141</v>
      </c>
      <c r="S55">
        <f>Q55/R55*100</f>
        <v>2.6354877975049975</v>
      </c>
    </row>
    <row r="56" spans="1:19" x14ac:dyDescent="0.2">
      <c r="A56">
        <v>60000</v>
      </c>
      <c r="B56">
        <v>0</v>
      </c>
      <c r="C56">
        <v>2271.3291999999997</v>
      </c>
      <c r="D56">
        <v>1</v>
      </c>
      <c r="E56">
        <v>1277.0589999999997</v>
      </c>
      <c r="F56">
        <v>7</v>
      </c>
      <c r="G56">
        <v>487.00245999999999</v>
      </c>
      <c r="H56">
        <v>39</v>
      </c>
      <c r="I56">
        <v>206.42356000000001</v>
      </c>
      <c r="J56">
        <v>81</v>
      </c>
      <c r="K56">
        <v>87.539563999999999</v>
      </c>
      <c r="L56">
        <v>178</v>
      </c>
      <c r="M56">
        <v>31.116204</v>
      </c>
      <c r="N56">
        <v>192</v>
      </c>
      <c r="O56">
        <v>10.798482799999999</v>
      </c>
      <c r="P56" s="3">
        <f t="shared" si="15"/>
        <v>27439.292753599999</v>
      </c>
      <c r="Q56" s="3">
        <f t="shared" si="16"/>
        <v>78569.713535599993</v>
      </c>
      <c r="R56">
        <v>4112141</v>
      </c>
      <c r="S56">
        <f>Q56/R56*100</f>
        <v>1.9106765438150102</v>
      </c>
    </row>
    <row r="57" spans="1:19" x14ac:dyDescent="0.2">
      <c r="A57">
        <v>80000</v>
      </c>
      <c r="B57">
        <v>0</v>
      </c>
      <c r="C57">
        <v>2271.3291999999997</v>
      </c>
      <c r="D57">
        <v>0</v>
      </c>
      <c r="E57">
        <v>1277.0589999999997</v>
      </c>
      <c r="F57">
        <v>7</v>
      </c>
      <c r="G57">
        <v>487.00245999999999</v>
      </c>
      <c r="H57">
        <v>14</v>
      </c>
      <c r="I57">
        <v>206.42356000000001</v>
      </c>
      <c r="J57">
        <v>43</v>
      </c>
      <c r="K57">
        <v>87.539563999999999</v>
      </c>
      <c r="L57">
        <v>77</v>
      </c>
      <c r="M57">
        <v>31.116204</v>
      </c>
      <c r="N57">
        <v>111</v>
      </c>
      <c r="O57">
        <v>10.798482799999999</v>
      </c>
      <c r="P57" s="3">
        <f t="shared" si="15"/>
        <v>13657.727610800001</v>
      </c>
      <c r="Q57" s="3">
        <f t="shared" si="16"/>
        <v>51130.420782000001</v>
      </c>
      <c r="R57">
        <v>4112141</v>
      </c>
      <c r="S57">
        <f t="shared" ref="S57:S63" si="17">Q57/R57*100</f>
        <v>1.2434014490748251</v>
      </c>
    </row>
    <row r="58" spans="1:19" x14ac:dyDescent="0.2">
      <c r="A58">
        <v>100000</v>
      </c>
      <c r="B58">
        <v>1</v>
      </c>
      <c r="C58">
        <v>2271.3291999999997</v>
      </c>
      <c r="D58">
        <v>1</v>
      </c>
      <c r="E58">
        <v>1277.0589999999997</v>
      </c>
      <c r="F58">
        <v>2</v>
      </c>
      <c r="G58">
        <v>487.00245999999999</v>
      </c>
      <c r="H58">
        <v>14</v>
      </c>
      <c r="I58">
        <v>206.42356000000001</v>
      </c>
      <c r="J58">
        <v>36</v>
      </c>
      <c r="K58">
        <v>87.539563999999999</v>
      </c>
      <c r="L58">
        <v>65</v>
      </c>
      <c r="M58">
        <v>31.116204</v>
      </c>
      <c r="N58">
        <v>51</v>
      </c>
      <c r="O58">
        <v>10.798482799999999</v>
      </c>
      <c r="P58" s="3">
        <f t="shared" si="15"/>
        <v>13137.0231468</v>
      </c>
      <c r="Q58" s="3">
        <f t="shared" si="16"/>
        <v>37472.693171200001</v>
      </c>
      <c r="R58">
        <v>4112141</v>
      </c>
      <c r="S58">
        <f t="shared" si="17"/>
        <v>0.91126965663871939</v>
      </c>
    </row>
    <row r="59" spans="1:19" x14ac:dyDescent="0.2">
      <c r="A59">
        <v>120000</v>
      </c>
      <c r="B59">
        <v>0</v>
      </c>
      <c r="C59">
        <v>2271.3291999999997</v>
      </c>
      <c r="D59">
        <v>1</v>
      </c>
      <c r="E59">
        <v>1277.0589999999997</v>
      </c>
      <c r="F59">
        <v>0</v>
      </c>
      <c r="G59">
        <v>487.00245999999999</v>
      </c>
      <c r="H59">
        <v>8</v>
      </c>
      <c r="I59">
        <v>206.42356000000001</v>
      </c>
      <c r="J59">
        <v>15</v>
      </c>
      <c r="K59">
        <v>87.539563999999999</v>
      </c>
      <c r="L59">
        <v>36</v>
      </c>
      <c r="M59">
        <v>31.116204</v>
      </c>
      <c r="N59">
        <v>45</v>
      </c>
      <c r="O59">
        <v>10.798482799999999</v>
      </c>
      <c r="P59" s="3">
        <f t="shared" si="15"/>
        <v>5847.6560099999997</v>
      </c>
      <c r="Q59" s="3">
        <f t="shared" si="16"/>
        <v>24335.670024399999</v>
      </c>
      <c r="R59">
        <v>4112141</v>
      </c>
      <c r="S59">
        <f t="shared" si="17"/>
        <v>0.59180047630662469</v>
      </c>
    </row>
    <row r="60" spans="1:19" x14ac:dyDescent="0.2">
      <c r="A60">
        <v>140000</v>
      </c>
      <c r="B60">
        <v>2</v>
      </c>
      <c r="C60">
        <v>2271.3291999999997</v>
      </c>
      <c r="D60">
        <v>0</v>
      </c>
      <c r="E60">
        <v>1277.0589999999997</v>
      </c>
      <c r="F60">
        <v>3</v>
      </c>
      <c r="G60">
        <v>487.00245999999999</v>
      </c>
      <c r="H60">
        <v>6</v>
      </c>
      <c r="I60">
        <v>206.42356000000001</v>
      </c>
      <c r="J60">
        <v>29</v>
      </c>
      <c r="K60">
        <v>87.539563999999999</v>
      </c>
      <c r="L60">
        <v>44</v>
      </c>
      <c r="M60">
        <v>31.116204</v>
      </c>
      <c r="N60">
        <v>66</v>
      </c>
      <c r="O60">
        <v>10.798482799999999</v>
      </c>
      <c r="P60" s="3">
        <f t="shared" si="15"/>
        <v>11862.667336800001</v>
      </c>
      <c r="Q60" s="3">
        <f t="shared" si="16"/>
        <v>18488.0140144</v>
      </c>
      <c r="R60">
        <v>4112141</v>
      </c>
      <c r="S60">
        <f t="shared" si="17"/>
        <v>0.44959581917059754</v>
      </c>
    </row>
    <row r="61" spans="1:19" x14ac:dyDescent="0.2">
      <c r="A61">
        <v>200000</v>
      </c>
      <c r="B61">
        <v>0</v>
      </c>
      <c r="C61">
        <v>2271.3291999999997</v>
      </c>
      <c r="D61">
        <v>0</v>
      </c>
      <c r="E61">
        <v>1277.0589999999997</v>
      </c>
      <c r="F61">
        <v>3</v>
      </c>
      <c r="G61">
        <v>487.00245999999999</v>
      </c>
      <c r="H61">
        <v>2</v>
      </c>
      <c r="I61">
        <v>206.42356000000001</v>
      </c>
      <c r="J61">
        <v>14</v>
      </c>
      <c r="K61">
        <v>87.539563999999999</v>
      </c>
      <c r="L61">
        <v>35</v>
      </c>
      <c r="M61">
        <v>31.116204</v>
      </c>
      <c r="N61">
        <v>48</v>
      </c>
      <c r="O61">
        <v>10.798482799999999</v>
      </c>
      <c r="P61" s="3">
        <f t="shared" si="15"/>
        <v>4706.8027103999993</v>
      </c>
      <c r="Q61" s="3">
        <f t="shared" si="16"/>
        <v>6625.3466775999996</v>
      </c>
      <c r="R61">
        <v>4112141</v>
      </c>
      <c r="S61">
        <f t="shared" si="17"/>
        <v>0.16111671943155645</v>
      </c>
    </row>
    <row r="62" spans="1:19" x14ac:dyDescent="0.2">
      <c r="A62">
        <v>350000</v>
      </c>
      <c r="B62">
        <v>0</v>
      </c>
      <c r="C62">
        <v>2271.3291999999997</v>
      </c>
      <c r="D62">
        <v>0</v>
      </c>
      <c r="E62">
        <v>1277.0589999999997</v>
      </c>
      <c r="F62">
        <v>1</v>
      </c>
      <c r="G62">
        <v>487.00245999999999</v>
      </c>
      <c r="H62">
        <v>1</v>
      </c>
      <c r="I62">
        <v>206.42356000000001</v>
      </c>
      <c r="J62">
        <v>1</v>
      </c>
      <c r="K62">
        <v>87.539563999999999</v>
      </c>
      <c r="L62">
        <v>4</v>
      </c>
      <c r="M62">
        <v>31.116204</v>
      </c>
      <c r="N62">
        <v>9</v>
      </c>
      <c r="O62">
        <v>10.798482799999999</v>
      </c>
      <c r="P62" s="3">
        <f t="shared" si="15"/>
        <v>1002.6167452000001</v>
      </c>
      <c r="Q62" s="3">
        <f t="shared" si="16"/>
        <v>1918.5439672</v>
      </c>
      <c r="R62">
        <v>4112141</v>
      </c>
      <c r="S62">
        <f t="shared" si="17"/>
        <v>4.6655597830910951E-2</v>
      </c>
    </row>
    <row r="63" spans="1:19" x14ac:dyDescent="0.2">
      <c r="A63">
        <v>500000</v>
      </c>
      <c r="B63">
        <v>0</v>
      </c>
      <c r="C63">
        <v>2271.3291999999997</v>
      </c>
      <c r="D63">
        <v>0</v>
      </c>
      <c r="E63">
        <v>1277.0589999999997</v>
      </c>
      <c r="F63">
        <v>0</v>
      </c>
      <c r="G63">
        <v>487.00245999999999</v>
      </c>
      <c r="H63">
        <v>1</v>
      </c>
      <c r="I63">
        <v>206.42356000000001</v>
      </c>
      <c r="J63">
        <v>4</v>
      </c>
      <c r="K63">
        <v>87.539563999999999</v>
      </c>
      <c r="L63">
        <v>5</v>
      </c>
      <c r="M63">
        <v>31.116204</v>
      </c>
      <c r="N63">
        <v>4</v>
      </c>
      <c r="O63">
        <v>10.798482799999999</v>
      </c>
      <c r="P63" s="3">
        <f t="shared" si="15"/>
        <v>755.35676719999992</v>
      </c>
      <c r="Q63" s="3">
        <f>P64+P63</f>
        <v>915.92722199999992</v>
      </c>
      <c r="R63">
        <v>4112141</v>
      </c>
      <c r="S63">
        <f t="shared" si="17"/>
        <v>2.2273730934809867E-2</v>
      </c>
    </row>
    <row r="64" spans="1:19" x14ac:dyDescent="0.2">
      <c r="A64" t="s">
        <v>12</v>
      </c>
      <c r="B64">
        <v>0</v>
      </c>
      <c r="C64">
        <v>2271.3291999999997</v>
      </c>
      <c r="D64">
        <v>0</v>
      </c>
      <c r="E64">
        <v>1277.0589999999997</v>
      </c>
      <c r="F64">
        <v>0</v>
      </c>
      <c r="G64">
        <v>487.00245999999999</v>
      </c>
      <c r="H64">
        <v>0</v>
      </c>
      <c r="I64">
        <v>206.42356000000001</v>
      </c>
      <c r="J64">
        <v>1</v>
      </c>
      <c r="K64">
        <v>87.539563999999999</v>
      </c>
      <c r="L64">
        <v>2</v>
      </c>
      <c r="M64">
        <v>31.116204</v>
      </c>
      <c r="N64">
        <v>1</v>
      </c>
      <c r="O64">
        <v>10.798482799999999</v>
      </c>
      <c r="P64" s="3">
        <f t="shared" si="15"/>
        <v>160.57045479999999</v>
      </c>
      <c r="Q64" s="3">
        <f>P64</f>
        <v>160.57045479999999</v>
      </c>
      <c r="R64">
        <v>4112141</v>
      </c>
      <c r="S64">
        <f>Q64/R64*100</f>
        <v>3.9047896168930007E-3</v>
      </c>
    </row>
    <row r="65" spans="1:19" x14ac:dyDescent="0.2">
      <c r="A65" t="s">
        <v>3</v>
      </c>
      <c r="B65">
        <v>16</v>
      </c>
      <c r="C65">
        <v>2271.3291999999997</v>
      </c>
      <c r="D65">
        <v>34</v>
      </c>
      <c r="E65">
        <v>1277.0589999999997</v>
      </c>
      <c r="F65">
        <v>140</v>
      </c>
      <c r="G65">
        <v>487.00245999999999</v>
      </c>
      <c r="H65">
        <v>534</v>
      </c>
      <c r="I65">
        <v>206.42356000000001</v>
      </c>
      <c r="J65">
        <v>1191</v>
      </c>
      <c r="K65">
        <v>87.539563999999999</v>
      </c>
      <c r="L65">
        <v>2274</v>
      </c>
      <c r="M65">
        <v>31.116204</v>
      </c>
      <c r="N65">
        <v>2640</v>
      </c>
      <c r="O65">
        <v>10.798482799999999</v>
      </c>
      <c r="P65" s="3">
        <f t="shared" si="15"/>
        <v>461697.66185199993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76</v>
      </c>
      <c r="B73" s="14">
        <v>5.0000000000000001E-4</v>
      </c>
      <c r="C73" s="4">
        <f>S62/100</f>
        <v>4.6655597830910951E-4</v>
      </c>
      <c r="D73" s="5">
        <f>S61/100</f>
        <v>1.6111671943155644E-3</v>
      </c>
      <c r="E73" s="5">
        <v>350000</v>
      </c>
      <c r="F73" s="5">
        <v>200000</v>
      </c>
      <c r="G73" s="5">
        <f t="shared" ref="G73:G78" si="18">D73/C73</f>
        <v>3.4533202214121244</v>
      </c>
      <c r="H73" s="5">
        <f t="shared" ref="H73:H78" si="19">LN(G73)</f>
        <v>1.2393361512676382</v>
      </c>
      <c r="I73" s="5">
        <f t="shared" ref="I73:I78" si="20">E73/F73</f>
        <v>1.75</v>
      </c>
      <c r="J73" s="5">
        <f t="shared" ref="J73:J78" si="21">LN(I73)</f>
        <v>0.55961578793542266</v>
      </c>
      <c r="K73" s="4">
        <v>1.9234801750286095</v>
      </c>
      <c r="L73" s="4">
        <v>4811.8027558538124</v>
      </c>
      <c r="M73" s="7">
        <f t="shared" ref="M73:M78" si="22">POWER(B73,1/K73)</f>
        <v>1.9223137344769516E-2</v>
      </c>
      <c r="N73" s="8">
        <f t="shared" ref="N73:N78" si="23">L73/M73</f>
        <v>250313.08207154181</v>
      </c>
      <c r="O73">
        <f t="shared" ref="O73:O78" si="24">R54</f>
        <v>4112141</v>
      </c>
      <c r="P73" s="8">
        <f>O73*(K73/(1-K73))*POWER(L73,K73)*(-1)*POWER(N73,1-K73)</f>
        <v>1071967670.1712599</v>
      </c>
      <c r="Q73" s="9">
        <f t="shared" ref="Q73:Q78" si="25">B73*O73</f>
        <v>2056.0705000000003</v>
      </c>
      <c r="R73" s="4">
        <f t="shared" ref="R73:R78" si="26">P73/Q73</f>
        <v>521367.17596563918</v>
      </c>
      <c r="S73" s="3">
        <f t="shared" ref="S73:S78" si="27">7.5672*P73*1.23</f>
        <v>9977506317.0755482</v>
      </c>
    </row>
    <row r="74" spans="1:19" x14ac:dyDescent="0.2">
      <c r="A74" t="s">
        <v>76</v>
      </c>
      <c r="B74" s="14">
        <v>1E-3</v>
      </c>
      <c r="C74" s="5">
        <f>S62/100</f>
        <v>4.6655597830910951E-4</v>
      </c>
      <c r="D74" s="5">
        <f>S61/100</f>
        <v>1.6111671943155644E-3</v>
      </c>
      <c r="E74" s="5">
        <v>350000</v>
      </c>
      <c r="F74" s="5">
        <v>200000</v>
      </c>
      <c r="G74" s="5">
        <f t="shared" si="18"/>
        <v>3.4533202214121244</v>
      </c>
      <c r="H74" s="5">
        <f t="shared" si="19"/>
        <v>1.2393361512676382</v>
      </c>
      <c r="I74" s="5">
        <f t="shared" si="20"/>
        <v>1.75</v>
      </c>
      <c r="J74" s="5">
        <f t="shared" si="21"/>
        <v>0.55961578793542266</v>
      </c>
      <c r="K74" s="4">
        <v>1.9234801750286095</v>
      </c>
      <c r="L74" s="4">
        <v>4811.8027558538124</v>
      </c>
      <c r="M74" s="7">
        <f t="shared" si="22"/>
        <v>2.7563035814321329E-2</v>
      </c>
      <c r="N74" s="8">
        <f t="shared" si="23"/>
        <v>174574.48403973243</v>
      </c>
      <c r="O74">
        <f t="shared" si="24"/>
        <v>4112141</v>
      </c>
      <c r="P74" s="8">
        <f>O74*(K74/(1-K74))*POWER(L74,K74)*(POWER(N73,1-K74)-POWER(N74,1-K74))+P73</f>
        <v>1495233100.7129378</v>
      </c>
      <c r="Q74" s="9">
        <f t="shared" si="25"/>
        <v>4112.1410000000005</v>
      </c>
      <c r="R74" s="4">
        <f t="shared" si="26"/>
        <v>363614.25853659632</v>
      </c>
      <c r="S74" s="3">
        <f t="shared" si="27"/>
        <v>13917115341.24938</v>
      </c>
    </row>
    <row r="75" spans="1:19" x14ac:dyDescent="0.2">
      <c r="A75" t="s">
        <v>70</v>
      </c>
      <c r="B75" s="14">
        <v>2.5000000000000001E-3</v>
      </c>
      <c r="C75" s="5">
        <f>S61/100</f>
        <v>1.6111671943155644E-3</v>
      </c>
      <c r="D75" s="5">
        <f>S60/100</f>
        <v>4.4959581917059753E-3</v>
      </c>
      <c r="E75" s="5">
        <v>200000</v>
      </c>
      <c r="F75" s="5">
        <v>140000</v>
      </c>
      <c r="G75" s="5">
        <f t="shared" si="18"/>
        <v>2.7904976017190388</v>
      </c>
      <c r="H75" s="5">
        <f t="shared" si="19"/>
        <v>1.0262199318010934</v>
      </c>
      <c r="I75" s="5">
        <f t="shared" si="20"/>
        <v>1.4285714285714286</v>
      </c>
      <c r="J75" s="5">
        <f t="shared" si="21"/>
        <v>0.35667494393873239</v>
      </c>
      <c r="K75" s="4">
        <f>H75/J75</f>
        <v>2.8771853735186168</v>
      </c>
      <c r="L75" s="4">
        <f>F75*(D75^(1/K75))</f>
        <v>21396.290928349717</v>
      </c>
      <c r="M75" s="7">
        <f t="shared" si="22"/>
        <v>0.12463014466498894</v>
      </c>
      <c r="N75" s="8">
        <f t="shared" si="23"/>
        <v>171678.29649772009</v>
      </c>
      <c r="O75">
        <f t="shared" si="24"/>
        <v>4112141</v>
      </c>
      <c r="P75" s="8">
        <f>O75*(K75/(1-K75))*POWER(L75,K75)*(POWER(N74,1-K75)-POWER(N75,1-K75))+P74</f>
        <v>1578863352.0001614</v>
      </c>
      <c r="Q75" s="9">
        <f t="shared" si="25"/>
        <v>10280.352500000001</v>
      </c>
      <c r="R75" s="4">
        <f t="shared" si="26"/>
        <v>153580.66291989124</v>
      </c>
      <c r="S75" s="3">
        <f t="shared" si="27"/>
        <v>14695516951.424414</v>
      </c>
    </row>
    <row r="76" spans="1:19" x14ac:dyDescent="0.2">
      <c r="A76" t="s">
        <v>73</v>
      </c>
      <c r="B76" s="14">
        <v>5.0000000000000001E-3</v>
      </c>
      <c r="C76" s="5">
        <f>S60/100</f>
        <v>4.4959581917059753E-3</v>
      </c>
      <c r="D76" s="5">
        <f>S59/100</f>
        <v>5.9180047630662466E-3</v>
      </c>
      <c r="E76" s="5">
        <v>140000</v>
      </c>
      <c r="F76" s="5">
        <v>120000</v>
      </c>
      <c r="G76" s="5">
        <f t="shared" si="18"/>
        <v>1.3162944384099535</v>
      </c>
      <c r="H76" s="5">
        <f t="shared" si="19"/>
        <v>0.27482054527122923</v>
      </c>
      <c r="I76" s="5">
        <f t="shared" si="20"/>
        <v>1.1666666666666667</v>
      </c>
      <c r="J76" s="5">
        <f t="shared" si="21"/>
        <v>0.15415067982725836</v>
      </c>
      <c r="K76" s="4">
        <f>H76/J76</f>
        <v>1.7828046271297269</v>
      </c>
      <c r="L76" s="4">
        <f>F76*(D76^(1/K76))</f>
        <v>6754.0346030664296</v>
      </c>
      <c r="M76" s="7">
        <f t="shared" si="22"/>
        <v>5.1205918107914354E-2</v>
      </c>
      <c r="N76" s="8">
        <f t="shared" si="23"/>
        <v>131899.49233665885</v>
      </c>
      <c r="O76">
        <f t="shared" si="24"/>
        <v>4112141</v>
      </c>
      <c r="P76" s="8">
        <f>O76*(K76/(1-K76))*POWER(L76,K76)*(POWER(N75,1-K76)-POWER(N76,1-K76))+P75</f>
        <v>2730369535.1712837</v>
      </c>
      <c r="Q76" s="9">
        <f t="shared" si="25"/>
        <v>20560.705000000002</v>
      </c>
      <c r="R76" s="4">
        <f t="shared" si="26"/>
        <v>132795.52112494604</v>
      </c>
      <c r="S76" s="3">
        <f t="shared" si="27"/>
        <v>25413340386.254208</v>
      </c>
    </row>
    <row r="77" spans="1:19" x14ac:dyDescent="0.2">
      <c r="A77" t="s">
        <v>74</v>
      </c>
      <c r="B77" s="14">
        <v>0.01</v>
      </c>
      <c r="C77" s="5">
        <f>S58/100</f>
        <v>9.1126965663871941E-3</v>
      </c>
      <c r="D77" s="5">
        <f>S57/100</f>
        <v>1.2434014490748251E-2</v>
      </c>
      <c r="E77" s="5">
        <v>100000</v>
      </c>
      <c r="F77" s="5">
        <v>80000</v>
      </c>
      <c r="G77" s="5">
        <f t="shared" si="18"/>
        <v>1.3644714712231247</v>
      </c>
      <c r="H77" s="5">
        <f t="shared" si="19"/>
        <v>0.31076715308628744</v>
      </c>
      <c r="I77" s="5">
        <f t="shared" si="20"/>
        <v>1.25</v>
      </c>
      <c r="J77" s="5">
        <f t="shared" si="21"/>
        <v>0.22314355131420976</v>
      </c>
      <c r="K77" s="4">
        <f>H77/J77</f>
        <v>1.3926781717688734</v>
      </c>
      <c r="L77" s="4">
        <f>F77*(D77^(1/K77))</f>
        <v>3427.2269658062214</v>
      </c>
      <c r="M77" s="7">
        <f t="shared" si="22"/>
        <v>3.6636842624939221E-2</v>
      </c>
      <c r="N77" s="8">
        <f t="shared" si="23"/>
        <v>93545.914993047438</v>
      </c>
      <c r="O77">
        <f t="shared" si="24"/>
        <v>4112141</v>
      </c>
      <c r="P77" s="8">
        <f>O77*(K77/(1-K77))*POWER(L77,K77)*(POWER(N76,1-K77)-POWER(N77,1-K77))+P76</f>
        <v>4452290943.8596926</v>
      </c>
      <c r="Q77" s="9">
        <f t="shared" si="25"/>
        <v>41121.410000000003</v>
      </c>
      <c r="R77" s="4">
        <f t="shared" si="26"/>
        <v>108271.84534430342</v>
      </c>
      <c r="S77" s="3">
        <f t="shared" si="27"/>
        <v>41440392517.361328</v>
      </c>
    </row>
    <row r="78" spans="1:19" x14ac:dyDescent="0.2">
      <c r="A78" t="s">
        <v>45</v>
      </c>
      <c r="B78" s="14">
        <v>0.02</v>
      </c>
      <c r="C78" s="5">
        <f>S56/100</f>
        <v>1.9106765438150101E-2</v>
      </c>
      <c r="D78" s="5">
        <f>S55/100</f>
        <v>2.6354877975049974E-2</v>
      </c>
      <c r="E78" s="5">
        <v>60000</v>
      </c>
      <c r="F78" s="5">
        <v>50000</v>
      </c>
      <c r="G78" s="5">
        <f t="shared" si="18"/>
        <v>1.3793479623938707</v>
      </c>
      <c r="H78" s="5">
        <f t="shared" si="19"/>
        <v>0.32161089649112423</v>
      </c>
      <c r="I78" s="5">
        <f t="shared" si="20"/>
        <v>1.2</v>
      </c>
      <c r="J78" s="5">
        <f t="shared" si="21"/>
        <v>0.18232155679395459</v>
      </c>
      <c r="K78" s="4">
        <f>H78/J78</f>
        <v>1.7639762524328566</v>
      </c>
      <c r="L78" s="4">
        <f>F78*(D78^(1/K78))</f>
        <v>6364.3556899441382</v>
      </c>
      <c r="M78" s="7">
        <f t="shared" si="22"/>
        <v>0.10885593455618157</v>
      </c>
      <c r="N78" s="8">
        <f t="shared" si="23"/>
        <v>58465.858714018337</v>
      </c>
      <c r="O78">
        <f t="shared" si="24"/>
        <v>4112141</v>
      </c>
      <c r="P78" s="8">
        <f>O78*(K78/(1-K78))*POWER(L78,K78)*(POWER(N77,1-K78)-POWER(N78,1-K78))+P77</f>
        <v>7801620735.1750307</v>
      </c>
      <c r="Q78" s="9">
        <f t="shared" si="25"/>
        <v>82242.820000000007</v>
      </c>
      <c r="R78" s="4">
        <f t="shared" si="26"/>
        <v>94860.812593427967</v>
      </c>
      <c r="S78" s="3">
        <f t="shared" si="27"/>
        <v>72614802045.476288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28">S32+S73</f>
        <v>26764451688.723328</v>
      </c>
      <c r="C85">
        <f t="shared" ref="C85:C90" si="29">1338850000000*1.23</f>
        <v>1646785500000</v>
      </c>
      <c r="F85" s="10">
        <f t="shared" ref="F85:F90" si="30">B85/C85*100</f>
        <v>1.6252542719572967</v>
      </c>
    </row>
    <row r="86" spans="1:7" ht="15" x14ac:dyDescent="0.25">
      <c r="A86" s="18">
        <v>1E-3</v>
      </c>
      <c r="B86" s="3">
        <f t="shared" si="28"/>
        <v>38726053791.490761</v>
      </c>
      <c r="C86">
        <f t="shared" si="29"/>
        <v>1646785500000</v>
      </c>
      <c r="F86" s="10">
        <f t="shared" si="30"/>
        <v>2.3516149365834691</v>
      </c>
    </row>
    <row r="87" spans="1:7" ht="15" x14ac:dyDescent="0.25">
      <c r="A87" s="18">
        <v>2.5000000000000001E-3</v>
      </c>
      <c r="B87" s="3">
        <f t="shared" si="28"/>
        <v>56409159305.737869</v>
      </c>
      <c r="C87">
        <f t="shared" si="29"/>
        <v>1646785500000</v>
      </c>
      <c r="F87" s="10">
        <f t="shared" si="30"/>
        <v>3.425410249588539</v>
      </c>
    </row>
    <row r="88" spans="1:7" ht="15" x14ac:dyDescent="0.25">
      <c r="A88" s="18">
        <v>5.0000000000000001E-3</v>
      </c>
      <c r="B88" s="3">
        <f t="shared" si="28"/>
        <v>85713895376.399094</v>
      </c>
      <c r="C88">
        <f t="shared" si="29"/>
        <v>1646785500000</v>
      </c>
      <c r="F88" s="10">
        <f t="shared" si="30"/>
        <v>5.2049216717295055</v>
      </c>
    </row>
    <row r="89" spans="1:7" ht="15" x14ac:dyDescent="0.25">
      <c r="A89" s="19">
        <v>0.01</v>
      </c>
      <c r="B89" s="3">
        <f t="shared" si="28"/>
        <v>130236181712.26074</v>
      </c>
      <c r="C89">
        <f t="shared" si="29"/>
        <v>1646785500000</v>
      </c>
      <c r="F89" s="10">
        <f t="shared" si="30"/>
        <v>7.9085091356622188</v>
      </c>
    </row>
    <row r="90" spans="1:7" ht="15" x14ac:dyDescent="0.25">
      <c r="A90" s="19">
        <v>0.02</v>
      </c>
      <c r="B90" s="3">
        <f t="shared" si="28"/>
        <v>202346118280.51215</v>
      </c>
      <c r="C90">
        <f t="shared" si="29"/>
        <v>1646785500000</v>
      </c>
      <c r="F90" s="10">
        <f t="shared" si="30"/>
        <v>12.287339078496389</v>
      </c>
    </row>
  </sheetData>
  <pageMargins left="0.7" right="0.7" top="0.75" bottom="0.75" header="0.3" footer="0.3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0"/>
  <sheetViews>
    <sheetView topLeftCell="A77" workbookViewId="0">
      <selection activeCell="F85" sqref="F85:F90"/>
    </sheetView>
  </sheetViews>
  <sheetFormatPr defaultRowHeight="12.75" x14ac:dyDescent="0.2"/>
  <cols>
    <col min="1" max="1" width="14.28515625" customWidth="1"/>
    <col min="2" max="2" width="14.7109375" customWidth="1"/>
    <col min="3" max="3" width="14.28515625" customWidth="1"/>
    <col min="5" max="5" width="16.140625" customWidth="1"/>
    <col min="7" max="7" width="13" customWidth="1"/>
    <col min="9" max="9" width="14.5703125" customWidth="1"/>
    <col min="11" max="11" width="12.7109375" customWidth="1"/>
    <col min="13" max="13" width="12.85546875" customWidth="1"/>
    <col min="14" max="14" width="14.7109375" customWidth="1"/>
    <col min="15" max="15" width="12.140625" customWidth="1"/>
    <col min="16" max="16" width="13.85546875" customWidth="1"/>
    <col min="17" max="17" width="22.28515625" customWidth="1"/>
    <col min="18" max="18" width="16.7109375" customWidth="1"/>
    <col min="19" max="19" width="18.28515625" customWidth="1"/>
    <col min="257" max="257" width="14.28515625" customWidth="1"/>
    <col min="258" max="258" width="14.7109375" customWidth="1"/>
    <col min="259" max="259" width="14.28515625" customWidth="1"/>
    <col min="261" max="261" width="16.140625" customWidth="1"/>
    <col min="263" max="263" width="13" customWidth="1"/>
    <col min="265" max="265" width="14.5703125" customWidth="1"/>
    <col min="267" max="267" width="12.7109375" customWidth="1"/>
    <col min="269" max="269" width="12.85546875" customWidth="1"/>
    <col min="270" max="270" width="14.7109375" customWidth="1"/>
    <col min="271" max="271" width="12.140625" customWidth="1"/>
    <col min="272" max="272" width="13.85546875" customWidth="1"/>
    <col min="273" max="273" width="22.28515625" customWidth="1"/>
    <col min="274" max="274" width="16.7109375" customWidth="1"/>
    <col min="275" max="275" width="16" customWidth="1"/>
    <col min="513" max="513" width="14.28515625" customWidth="1"/>
    <col min="514" max="514" width="14.7109375" customWidth="1"/>
    <col min="515" max="515" width="14.28515625" customWidth="1"/>
    <col min="517" max="517" width="16.140625" customWidth="1"/>
    <col min="519" max="519" width="13" customWidth="1"/>
    <col min="521" max="521" width="14.5703125" customWidth="1"/>
    <col min="523" max="523" width="12.7109375" customWidth="1"/>
    <col min="525" max="525" width="12.85546875" customWidth="1"/>
    <col min="526" max="526" width="14.7109375" customWidth="1"/>
    <col min="527" max="527" width="12.140625" customWidth="1"/>
    <col min="528" max="528" width="13.85546875" customWidth="1"/>
    <col min="529" max="529" width="22.28515625" customWidth="1"/>
    <col min="530" max="530" width="16.7109375" customWidth="1"/>
    <col min="531" max="531" width="16" customWidth="1"/>
    <col min="769" max="769" width="14.28515625" customWidth="1"/>
    <col min="770" max="770" width="14.7109375" customWidth="1"/>
    <col min="771" max="771" width="14.28515625" customWidth="1"/>
    <col min="773" max="773" width="16.140625" customWidth="1"/>
    <col min="775" max="775" width="13" customWidth="1"/>
    <col min="777" max="777" width="14.5703125" customWidth="1"/>
    <col min="779" max="779" width="12.7109375" customWidth="1"/>
    <col min="781" max="781" width="12.85546875" customWidth="1"/>
    <col min="782" max="782" width="14.7109375" customWidth="1"/>
    <col min="783" max="783" width="12.140625" customWidth="1"/>
    <col min="784" max="784" width="13.85546875" customWidth="1"/>
    <col min="785" max="785" width="22.28515625" customWidth="1"/>
    <col min="786" max="786" width="16.7109375" customWidth="1"/>
    <col min="787" max="787" width="16" customWidth="1"/>
    <col min="1025" max="1025" width="14.28515625" customWidth="1"/>
    <col min="1026" max="1026" width="14.7109375" customWidth="1"/>
    <col min="1027" max="1027" width="14.28515625" customWidth="1"/>
    <col min="1029" max="1029" width="16.140625" customWidth="1"/>
    <col min="1031" max="1031" width="13" customWidth="1"/>
    <col min="1033" max="1033" width="14.5703125" customWidth="1"/>
    <col min="1035" max="1035" width="12.7109375" customWidth="1"/>
    <col min="1037" max="1037" width="12.85546875" customWidth="1"/>
    <col min="1038" max="1038" width="14.7109375" customWidth="1"/>
    <col min="1039" max="1039" width="12.140625" customWidth="1"/>
    <col min="1040" max="1040" width="13.85546875" customWidth="1"/>
    <col min="1041" max="1041" width="22.28515625" customWidth="1"/>
    <col min="1042" max="1042" width="16.7109375" customWidth="1"/>
    <col min="1043" max="1043" width="16" customWidth="1"/>
    <col min="1281" max="1281" width="14.28515625" customWidth="1"/>
    <col min="1282" max="1282" width="14.7109375" customWidth="1"/>
    <col min="1283" max="1283" width="14.28515625" customWidth="1"/>
    <col min="1285" max="1285" width="16.140625" customWidth="1"/>
    <col min="1287" max="1287" width="13" customWidth="1"/>
    <col min="1289" max="1289" width="14.5703125" customWidth="1"/>
    <col min="1291" max="1291" width="12.7109375" customWidth="1"/>
    <col min="1293" max="1293" width="12.85546875" customWidth="1"/>
    <col min="1294" max="1294" width="14.7109375" customWidth="1"/>
    <col min="1295" max="1295" width="12.140625" customWidth="1"/>
    <col min="1296" max="1296" width="13.85546875" customWidth="1"/>
    <col min="1297" max="1297" width="22.28515625" customWidth="1"/>
    <col min="1298" max="1298" width="16.7109375" customWidth="1"/>
    <col min="1299" max="1299" width="16" customWidth="1"/>
    <col min="1537" max="1537" width="14.28515625" customWidth="1"/>
    <col min="1538" max="1538" width="14.7109375" customWidth="1"/>
    <col min="1539" max="1539" width="14.28515625" customWidth="1"/>
    <col min="1541" max="1541" width="16.140625" customWidth="1"/>
    <col min="1543" max="1543" width="13" customWidth="1"/>
    <col min="1545" max="1545" width="14.5703125" customWidth="1"/>
    <col min="1547" max="1547" width="12.7109375" customWidth="1"/>
    <col min="1549" max="1549" width="12.85546875" customWidth="1"/>
    <col min="1550" max="1550" width="14.7109375" customWidth="1"/>
    <col min="1551" max="1551" width="12.140625" customWidth="1"/>
    <col min="1552" max="1552" width="13.85546875" customWidth="1"/>
    <col min="1553" max="1553" width="22.28515625" customWidth="1"/>
    <col min="1554" max="1554" width="16.7109375" customWidth="1"/>
    <col min="1555" max="1555" width="16" customWidth="1"/>
    <col min="1793" max="1793" width="14.28515625" customWidth="1"/>
    <col min="1794" max="1794" width="14.7109375" customWidth="1"/>
    <col min="1795" max="1795" width="14.28515625" customWidth="1"/>
    <col min="1797" max="1797" width="16.140625" customWidth="1"/>
    <col min="1799" max="1799" width="13" customWidth="1"/>
    <col min="1801" max="1801" width="14.5703125" customWidth="1"/>
    <col min="1803" max="1803" width="12.7109375" customWidth="1"/>
    <col min="1805" max="1805" width="12.85546875" customWidth="1"/>
    <col min="1806" max="1806" width="14.7109375" customWidth="1"/>
    <col min="1807" max="1807" width="12.140625" customWidth="1"/>
    <col min="1808" max="1808" width="13.85546875" customWidth="1"/>
    <col min="1809" max="1809" width="22.28515625" customWidth="1"/>
    <col min="1810" max="1810" width="16.7109375" customWidth="1"/>
    <col min="1811" max="1811" width="16" customWidth="1"/>
    <col min="2049" max="2049" width="14.28515625" customWidth="1"/>
    <col min="2050" max="2050" width="14.7109375" customWidth="1"/>
    <col min="2051" max="2051" width="14.28515625" customWidth="1"/>
    <col min="2053" max="2053" width="16.140625" customWidth="1"/>
    <col min="2055" max="2055" width="13" customWidth="1"/>
    <col min="2057" max="2057" width="14.5703125" customWidth="1"/>
    <col min="2059" max="2059" width="12.7109375" customWidth="1"/>
    <col min="2061" max="2061" width="12.85546875" customWidth="1"/>
    <col min="2062" max="2062" width="14.7109375" customWidth="1"/>
    <col min="2063" max="2063" width="12.140625" customWidth="1"/>
    <col min="2064" max="2064" width="13.85546875" customWidth="1"/>
    <col min="2065" max="2065" width="22.28515625" customWidth="1"/>
    <col min="2066" max="2066" width="16.7109375" customWidth="1"/>
    <col min="2067" max="2067" width="16" customWidth="1"/>
    <col min="2305" max="2305" width="14.28515625" customWidth="1"/>
    <col min="2306" max="2306" width="14.7109375" customWidth="1"/>
    <col min="2307" max="2307" width="14.28515625" customWidth="1"/>
    <col min="2309" max="2309" width="16.140625" customWidth="1"/>
    <col min="2311" max="2311" width="13" customWidth="1"/>
    <col min="2313" max="2313" width="14.5703125" customWidth="1"/>
    <col min="2315" max="2315" width="12.7109375" customWidth="1"/>
    <col min="2317" max="2317" width="12.85546875" customWidth="1"/>
    <col min="2318" max="2318" width="14.7109375" customWidth="1"/>
    <col min="2319" max="2319" width="12.140625" customWidth="1"/>
    <col min="2320" max="2320" width="13.85546875" customWidth="1"/>
    <col min="2321" max="2321" width="22.28515625" customWidth="1"/>
    <col min="2322" max="2322" width="16.7109375" customWidth="1"/>
    <col min="2323" max="2323" width="16" customWidth="1"/>
    <col min="2561" max="2561" width="14.28515625" customWidth="1"/>
    <col min="2562" max="2562" width="14.7109375" customWidth="1"/>
    <col min="2563" max="2563" width="14.28515625" customWidth="1"/>
    <col min="2565" max="2565" width="16.140625" customWidth="1"/>
    <col min="2567" max="2567" width="13" customWidth="1"/>
    <col min="2569" max="2569" width="14.5703125" customWidth="1"/>
    <col min="2571" max="2571" width="12.7109375" customWidth="1"/>
    <col min="2573" max="2573" width="12.85546875" customWidth="1"/>
    <col min="2574" max="2574" width="14.7109375" customWidth="1"/>
    <col min="2575" max="2575" width="12.140625" customWidth="1"/>
    <col min="2576" max="2576" width="13.85546875" customWidth="1"/>
    <col min="2577" max="2577" width="22.28515625" customWidth="1"/>
    <col min="2578" max="2578" width="16.7109375" customWidth="1"/>
    <col min="2579" max="2579" width="16" customWidth="1"/>
    <col min="2817" max="2817" width="14.28515625" customWidth="1"/>
    <col min="2818" max="2818" width="14.7109375" customWidth="1"/>
    <col min="2819" max="2819" width="14.28515625" customWidth="1"/>
    <col min="2821" max="2821" width="16.140625" customWidth="1"/>
    <col min="2823" max="2823" width="13" customWidth="1"/>
    <col min="2825" max="2825" width="14.5703125" customWidth="1"/>
    <col min="2827" max="2827" width="12.7109375" customWidth="1"/>
    <col min="2829" max="2829" width="12.85546875" customWidth="1"/>
    <col min="2830" max="2830" width="14.7109375" customWidth="1"/>
    <col min="2831" max="2831" width="12.140625" customWidth="1"/>
    <col min="2832" max="2832" width="13.85546875" customWidth="1"/>
    <col min="2833" max="2833" width="22.28515625" customWidth="1"/>
    <col min="2834" max="2834" width="16.7109375" customWidth="1"/>
    <col min="2835" max="2835" width="16" customWidth="1"/>
    <col min="3073" max="3073" width="14.28515625" customWidth="1"/>
    <col min="3074" max="3074" width="14.7109375" customWidth="1"/>
    <col min="3075" max="3075" width="14.28515625" customWidth="1"/>
    <col min="3077" max="3077" width="16.140625" customWidth="1"/>
    <col min="3079" max="3079" width="13" customWidth="1"/>
    <col min="3081" max="3081" width="14.5703125" customWidth="1"/>
    <col min="3083" max="3083" width="12.7109375" customWidth="1"/>
    <col min="3085" max="3085" width="12.85546875" customWidth="1"/>
    <col min="3086" max="3086" width="14.7109375" customWidth="1"/>
    <col min="3087" max="3087" width="12.140625" customWidth="1"/>
    <col min="3088" max="3088" width="13.85546875" customWidth="1"/>
    <col min="3089" max="3089" width="22.28515625" customWidth="1"/>
    <col min="3090" max="3090" width="16.7109375" customWidth="1"/>
    <col min="3091" max="3091" width="16" customWidth="1"/>
    <col min="3329" max="3329" width="14.28515625" customWidth="1"/>
    <col min="3330" max="3330" width="14.7109375" customWidth="1"/>
    <col min="3331" max="3331" width="14.28515625" customWidth="1"/>
    <col min="3333" max="3333" width="16.140625" customWidth="1"/>
    <col min="3335" max="3335" width="13" customWidth="1"/>
    <col min="3337" max="3337" width="14.5703125" customWidth="1"/>
    <col min="3339" max="3339" width="12.7109375" customWidth="1"/>
    <col min="3341" max="3341" width="12.85546875" customWidth="1"/>
    <col min="3342" max="3342" width="14.7109375" customWidth="1"/>
    <col min="3343" max="3343" width="12.140625" customWidth="1"/>
    <col min="3344" max="3344" width="13.85546875" customWidth="1"/>
    <col min="3345" max="3345" width="22.28515625" customWidth="1"/>
    <col min="3346" max="3346" width="16.7109375" customWidth="1"/>
    <col min="3347" max="3347" width="16" customWidth="1"/>
    <col min="3585" max="3585" width="14.28515625" customWidth="1"/>
    <col min="3586" max="3586" width="14.7109375" customWidth="1"/>
    <col min="3587" max="3587" width="14.28515625" customWidth="1"/>
    <col min="3589" max="3589" width="16.140625" customWidth="1"/>
    <col min="3591" max="3591" width="13" customWidth="1"/>
    <col min="3593" max="3593" width="14.5703125" customWidth="1"/>
    <col min="3595" max="3595" width="12.7109375" customWidth="1"/>
    <col min="3597" max="3597" width="12.85546875" customWidth="1"/>
    <col min="3598" max="3598" width="14.7109375" customWidth="1"/>
    <col min="3599" max="3599" width="12.140625" customWidth="1"/>
    <col min="3600" max="3600" width="13.85546875" customWidth="1"/>
    <col min="3601" max="3601" width="22.28515625" customWidth="1"/>
    <col min="3602" max="3602" width="16.7109375" customWidth="1"/>
    <col min="3603" max="3603" width="16" customWidth="1"/>
    <col min="3841" max="3841" width="14.28515625" customWidth="1"/>
    <col min="3842" max="3842" width="14.7109375" customWidth="1"/>
    <col min="3843" max="3843" width="14.28515625" customWidth="1"/>
    <col min="3845" max="3845" width="16.140625" customWidth="1"/>
    <col min="3847" max="3847" width="13" customWidth="1"/>
    <col min="3849" max="3849" width="14.5703125" customWidth="1"/>
    <col min="3851" max="3851" width="12.7109375" customWidth="1"/>
    <col min="3853" max="3853" width="12.85546875" customWidth="1"/>
    <col min="3854" max="3854" width="14.7109375" customWidth="1"/>
    <col min="3855" max="3855" width="12.140625" customWidth="1"/>
    <col min="3856" max="3856" width="13.85546875" customWidth="1"/>
    <col min="3857" max="3857" width="22.28515625" customWidth="1"/>
    <col min="3858" max="3858" width="16.7109375" customWidth="1"/>
    <col min="3859" max="3859" width="16" customWidth="1"/>
    <col min="4097" max="4097" width="14.28515625" customWidth="1"/>
    <col min="4098" max="4098" width="14.7109375" customWidth="1"/>
    <col min="4099" max="4099" width="14.28515625" customWidth="1"/>
    <col min="4101" max="4101" width="16.140625" customWidth="1"/>
    <col min="4103" max="4103" width="13" customWidth="1"/>
    <col min="4105" max="4105" width="14.5703125" customWidth="1"/>
    <col min="4107" max="4107" width="12.7109375" customWidth="1"/>
    <col min="4109" max="4109" width="12.85546875" customWidth="1"/>
    <col min="4110" max="4110" width="14.7109375" customWidth="1"/>
    <col min="4111" max="4111" width="12.140625" customWidth="1"/>
    <col min="4112" max="4112" width="13.85546875" customWidth="1"/>
    <col min="4113" max="4113" width="22.28515625" customWidth="1"/>
    <col min="4114" max="4114" width="16.7109375" customWidth="1"/>
    <col min="4115" max="4115" width="16" customWidth="1"/>
    <col min="4353" max="4353" width="14.28515625" customWidth="1"/>
    <col min="4354" max="4354" width="14.7109375" customWidth="1"/>
    <col min="4355" max="4355" width="14.28515625" customWidth="1"/>
    <col min="4357" max="4357" width="16.140625" customWidth="1"/>
    <col min="4359" max="4359" width="13" customWidth="1"/>
    <col min="4361" max="4361" width="14.5703125" customWidth="1"/>
    <col min="4363" max="4363" width="12.7109375" customWidth="1"/>
    <col min="4365" max="4365" width="12.85546875" customWidth="1"/>
    <col min="4366" max="4366" width="14.7109375" customWidth="1"/>
    <col min="4367" max="4367" width="12.140625" customWidth="1"/>
    <col min="4368" max="4368" width="13.85546875" customWidth="1"/>
    <col min="4369" max="4369" width="22.28515625" customWidth="1"/>
    <col min="4370" max="4370" width="16.7109375" customWidth="1"/>
    <col min="4371" max="4371" width="16" customWidth="1"/>
    <col min="4609" max="4609" width="14.28515625" customWidth="1"/>
    <col min="4610" max="4610" width="14.7109375" customWidth="1"/>
    <col min="4611" max="4611" width="14.28515625" customWidth="1"/>
    <col min="4613" max="4613" width="16.140625" customWidth="1"/>
    <col min="4615" max="4615" width="13" customWidth="1"/>
    <col min="4617" max="4617" width="14.5703125" customWidth="1"/>
    <col min="4619" max="4619" width="12.7109375" customWidth="1"/>
    <col min="4621" max="4621" width="12.85546875" customWidth="1"/>
    <col min="4622" max="4622" width="14.7109375" customWidth="1"/>
    <col min="4623" max="4623" width="12.140625" customWidth="1"/>
    <col min="4624" max="4624" width="13.85546875" customWidth="1"/>
    <col min="4625" max="4625" width="22.28515625" customWidth="1"/>
    <col min="4626" max="4626" width="16.7109375" customWidth="1"/>
    <col min="4627" max="4627" width="16" customWidth="1"/>
    <col min="4865" max="4865" width="14.28515625" customWidth="1"/>
    <col min="4866" max="4866" width="14.7109375" customWidth="1"/>
    <col min="4867" max="4867" width="14.28515625" customWidth="1"/>
    <col min="4869" max="4869" width="16.140625" customWidth="1"/>
    <col min="4871" max="4871" width="13" customWidth="1"/>
    <col min="4873" max="4873" width="14.5703125" customWidth="1"/>
    <col min="4875" max="4875" width="12.7109375" customWidth="1"/>
    <col min="4877" max="4877" width="12.85546875" customWidth="1"/>
    <col min="4878" max="4878" width="14.7109375" customWidth="1"/>
    <col min="4879" max="4879" width="12.140625" customWidth="1"/>
    <col min="4880" max="4880" width="13.85546875" customWidth="1"/>
    <col min="4881" max="4881" width="22.28515625" customWidth="1"/>
    <col min="4882" max="4882" width="16.7109375" customWidth="1"/>
    <col min="4883" max="4883" width="16" customWidth="1"/>
    <col min="5121" max="5121" width="14.28515625" customWidth="1"/>
    <col min="5122" max="5122" width="14.7109375" customWidth="1"/>
    <col min="5123" max="5123" width="14.28515625" customWidth="1"/>
    <col min="5125" max="5125" width="16.140625" customWidth="1"/>
    <col min="5127" max="5127" width="13" customWidth="1"/>
    <col min="5129" max="5129" width="14.5703125" customWidth="1"/>
    <col min="5131" max="5131" width="12.7109375" customWidth="1"/>
    <col min="5133" max="5133" width="12.85546875" customWidth="1"/>
    <col min="5134" max="5134" width="14.7109375" customWidth="1"/>
    <col min="5135" max="5135" width="12.140625" customWidth="1"/>
    <col min="5136" max="5136" width="13.85546875" customWidth="1"/>
    <col min="5137" max="5137" width="22.28515625" customWidth="1"/>
    <col min="5138" max="5138" width="16.7109375" customWidth="1"/>
    <col min="5139" max="5139" width="16" customWidth="1"/>
    <col min="5377" max="5377" width="14.28515625" customWidth="1"/>
    <col min="5378" max="5378" width="14.7109375" customWidth="1"/>
    <col min="5379" max="5379" width="14.28515625" customWidth="1"/>
    <col min="5381" max="5381" width="16.140625" customWidth="1"/>
    <col min="5383" max="5383" width="13" customWidth="1"/>
    <col min="5385" max="5385" width="14.5703125" customWidth="1"/>
    <col min="5387" max="5387" width="12.7109375" customWidth="1"/>
    <col min="5389" max="5389" width="12.85546875" customWidth="1"/>
    <col min="5390" max="5390" width="14.7109375" customWidth="1"/>
    <col min="5391" max="5391" width="12.140625" customWidth="1"/>
    <col min="5392" max="5392" width="13.85546875" customWidth="1"/>
    <col min="5393" max="5393" width="22.28515625" customWidth="1"/>
    <col min="5394" max="5394" width="16.7109375" customWidth="1"/>
    <col min="5395" max="5395" width="16" customWidth="1"/>
    <col min="5633" max="5633" width="14.28515625" customWidth="1"/>
    <col min="5634" max="5634" width="14.7109375" customWidth="1"/>
    <col min="5635" max="5635" width="14.28515625" customWidth="1"/>
    <col min="5637" max="5637" width="16.140625" customWidth="1"/>
    <col min="5639" max="5639" width="13" customWidth="1"/>
    <col min="5641" max="5641" width="14.5703125" customWidth="1"/>
    <col min="5643" max="5643" width="12.7109375" customWidth="1"/>
    <col min="5645" max="5645" width="12.85546875" customWidth="1"/>
    <col min="5646" max="5646" width="14.7109375" customWidth="1"/>
    <col min="5647" max="5647" width="12.140625" customWidth="1"/>
    <col min="5648" max="5648" width="13.85546875" customWidth="1"/>
    <col min="5649" max="5649" width="22.28515625" customWidth="1"/>
    <col min="5650" max="5650" width="16.7109375" customWidth="1"/>
    <col min="5651" max="5651" width="16" customWidth="1"/>
    <col min="5889" max="5889" width="14.28515625" customWidth="1"/>
    <col min="5890" max="5890" width="14.7109375" customWidth="1"/>
    <col min="5891" max="5891" width="14.28515625" customWidth="1"/>
    <col min="5893" max="5893" width="16.140625" customWidth="1"/>
    <col min="5895" max="5895" width="13" customWidth="1"/>
    <col min="5897" max="5897" width="14.5703125" customWidth="1"/>
    <col min="5899" max="5899" width="12.7109375" customWidth="1"/>
    <col min="5901" max="5901" width="12.85546875" customWidth="1"/>
    <col min="5902" max="5902" width="14.7109375" customWidth="1"/>
    <col min="5903" max="5903" width="12.140625" customWidth="1"/>
    <col min="5904" max="5904" width="13.85546875" customWidth="1"/>
    <col min="5905" max="5905" width="22.28515625" customWidth="1"/>
    <col min="5906" max="5906" width="16.7109375" customWidth="1"/>
    <col min="5907" max="5907" width="16" customWidth="1"/>
    <col min="6145" max="6145" width="14.28515625" customWidth="1"/>
    <col min="6146" max="6146" width="14.7109375" customWidth="1"/>
    <col min="6147" max="6147" width="14.28515625" customWidth="1"/>
    <col min="6149" max="6149" width="16.140625" customWidth="1"/>
    <col min="6151" max="6151" width="13" customWidth="1"/>
    <col min="6153" max="6153" width="14.5703125" customWidth="1"/>
    <col min="6155" max="6155" width="12.7109375" customWidth="1"/>
    <col min="6157" max="6157" width="12.85546875" customWidth="1"/>
    <col min="6158" max="6158" width="14.7109375" customWidth="1"/>
    <col min="6159" max="6159" width="12.140625" customWidth="1"/>
    <col min="6160" max="6160" width="13.85546875" customWidth="1"/>
    <col min="6161" max="6161" width="22.28515625" customWidth="1"/>
    <col min="6162" max="6162" width="16.7109375" customWidth="1"/>
    <col min="6163" max="6163" width="16" customWidth="1"/>
    <col min="6401" max="6401" width="14.28515625" customWidth="1"/>
    <col min="6402" max="6402" width="14.7109375" customWidth="1"/>
    <col min="6403" max="6403" width="14.28515625" customWidth="1"/>
    <col min="6405" max="6405" width="16.140625" customWidth="1"/>
    <col min="6407" max="6407" width="13" customWidth="1"/>
    <col min="6409" max="6409" width="14.5703125" customWidth="1"/>
    <col min="6411" max="6411" width="12.7109375" customWidth="1"/>
    <col min="6413" max="6413" width="12.85546875" customWidth="1"/>
    <col min="6414" max="6414" width="14.7109375" customWidth="1"/>
    <col min="6415" max="6415" width="12.140625" customWidth="1"/>
    <col min="6416" max="6416" width="13.85546875" customWidth="1"/>
    <col min="6417" max="6417" width="22.28515625" customWidth="1"/>
    <col min="6418" max="6418" width="16.7109375" customWidth="1"/>
    <col min="6419" max="6419" width="16" customWidth="1"/>
    <col min="6657" max="6657" width="14.28515625" customWidth="1"/>
    <col min="6658" max="6658" width="14.7109375" customWidth="1"/>
    <col min="6659" max="6659" width="14.28515625" customWidth="1"/>
    <col min="6661" max="6661" width="16.140625" customWidth="1"/>
    <col min="6663" max="6663" width="13" customWidth="1"/>
    <col min="6665" max="6665" width="14.5703125" customWidth="1"/>
    <col min="6667" max="6667" width="12.7109375" customWidth="1"/>
    <col min="6669" max="6669" width="12.85546875" customWidth="1"/>
    <col min="6670" max="6670" width="14.7109375" customWidth="1"/>
    <col min="6671" max="6671" width="12.140625" customWidth="1"/>
    <col min="6672" max="6672" width="13.85546875" customWidth="1"/>
    <col min="6673" max="6673" width="22.28515625" customWidth="1"/>
    <col min="6674" max="6674" width="16.7109375" customWidth="1"/>
    <col min="6675" max="6675" width="16" customWidth="1"/>
    <col min="6913" max="6913" width="14.28515625" customWidth="1"/>
    <col min="6914" max="6914" width="14.7109375" customWidth="1"/>
    <col min="6915" max="6915" width="14.28515625" customWidth="1"/>
    <col min="6917" max="6917" width="16.140625" customWidth="1"/>
    <col min="6919" max="6919" width="13" customWidth="1"/>
    <col min="6921" max="6921" width="14.5703125" customWidth="1"/>
    <col min="6923" max="6923" width="12.7109375" customWidth="1"/>
    <col min="6925" max="6925" width="12.85546875" customWidth="1"/>
    <col min="6926" max="6926" width="14.7109375" customWidth="1"/>
    <col min="6927" max="6927" width="12.140625" customWidth="1"/>
    <col min="6928" max="6928" width="13.85546875" customWidth="1"/>
    <col min="6929" max="6929" width="22.28515625" customWidth="1"/>
    <col min="6930" max="6930" width="16.7109375" customWidth="1"/>
    <col min="6931" max="6931" width="16" customWidth="1"/>
    <col min="7169" max="7169" width="14.28515625" customWidth="1"/>
    <col min="7170" max="7170" width="14.7109375" customWidth="1"/>
    <col min="7171" max="7171" width="14.28515625" customWidth="1"/>
    <col min="7173" max="7173" width="16.140625" customWidth="1"/>
    <col min="7175" max="7175" width="13" customWidth="1"/>
    <col min="7177" max="7177" width="14.5703125" customWidth="1"/>
    <col min="7179" max="7179" width="12.7109375" customWidth="1"/>
    <col min="7181" max="7181" width="12.85546875" customWidth="1"/>
    <col min="7182" max="7182" width="14.7109375" customWidth="1"/>
    <col min="7183" max="7183" width="12.140625" customWidth="1"/>
    <col min="7184" max="7184" width="13.85546875" customWidth="1"/>
    <col min="7185" max="7185" width="22.28515625" customWidth="1"/>
    <col min="7186" max="7186" width="16.7109375" customWidth="1"/>
    <col min="7187" max="7187" width="16" customWidth="1"/>
    <col min="7425" max="7425" width="14.28515625" customWidth="1"/>
    <col min="7426" max="7426" width="14.7109375" customWidth="1"/>
    <col min="7427" max="7427" width="14.28515625" customWidth="1"/>
    <col min="7429" max="7429" width="16.140625" customWidth="1"/>
    <col min="7431" max="7431" width="13" customWidth="1"/>
    <col min="7433" max="7433" width="14.5703125" customWidth="1"/>
    <col min="7435" max="7435" width="12.7109375" customWidth="1"/>
    <col min="7437" max="7437" width="12.85546875" customWidth="1"/>
    <col min="7438" max="7438" width="14.7109375" customWidth="1"/>
    <col min="7439" max="7439" width="12.140625" customWidth="1"/>
    <col min="7440" max="7440" width="13.85546875" customWidth="1"/>
    <col min="7441" max="7441" width="22.28515625" customWidth="1"/>
    <col min="7442" max="7442" width="16.7109375" customWidth="1"/>
    <col min="7443" max="7443" width="16" customWidth="1"/>
    <col min="7681" max="7681" width="14.28515625" customWidth="1"/>
    <col min="7682" max="7682" width="14.7109375" customWidth="1"/>
    <col min="7683" max="7683" width="14.28515625" customWidth="1"/>
    <col min="7685" max="7685" width="16.140625" customWidth="1"/>
    <col min="7687" max="7687" width="13" customWidth="1"/>
    <col min="7689" max="7689" width="14.5703125" customWidth="1"/>
    <col min="7691" max="7691" width="12.7109375" customWidth="1"/>
    <col min="7693" max="7693" width="12.85546875" customWidth="1"/>
    <col min="7694" max="7694" width="14.7109375" customWidth="1"/>
    <col min="7695" max="7695" width="12.140625" customWidth="1"/>
    <col min="7696" max="7696" width="13.85546875" customWidth="1"/>
    <col min="7697" max="7697" width="22.28515625" customWidth="1"/>
    <col min="7698" max="7698" width="16.7109375" customWidth="1"/>
    <col min="7699" max="7699" width="16" customWidth="1"/>
    <col min="7937" max="7937" width="14.28515625" customWidth="1"/>
    <col min="7938" max="7938" width="14.7109375" customWidth="1"/>
    <col min="7939" max="7939" width="14.28515625" customWidth="1"/>
    <col min="7941" max="7941" width="16.140625" customWidth="1"/>
    <col min="7943" max="7943" width="13" customWidth="1"/>
    <col min="7945" max="7945" width="14.5703125" customWidth="1"/>
    <col min="7947" max="7947" width="12.7109375" customWidth="1"/>
    <col min="7949" max="7949" width="12.85546875" customWidth="1"/>
    <col min="7950" max="7950" width="14.7109375" customWidth="1"/>
    <col min="7951" max="7951" width="12.140625" customWidth="1"/>
    <col min="7952" max="7952" width="13.85546875" customWidth="1"/>
    <col min="7953" max="7953" width="22.28515625" customWidth="1"/>
    <col min="7954" max="7954" width="16.7109375" customWidth="1"/>
    <col min="7955" max="7955" width="16" customWidth="1"/>
    <col min="8193" max="8193" width="14.28515625" customWidth="1"/>
    <col min="8194" max="8194" width="14.7109375" customWidth="1"/>
    <col min="8195" max="8195" width="14.28515625" customWidth="1"/>
    <col min="8197" max="8197" width="16.140625" customWidth="1"/>
    <col min="8199" max="8199" width="13" customWidth="1"/>
    <col min="8201" max="8201" width="14.5703125" customWidth="1"/>
    <col min="8203" max="8203" width="12.7109375" customWidth="1"/>
    <col min="8205" max="8205" width="12.85546875" customWidth="1"/>
    <col min="8206" max="8206" width="14.7109375" customWidth="1"/>
    <col min="8207" max="8207" width="12.140625" customWidth="1"/>
    <col min="8208" max="8208" width="13.85546875" customWidth="1"/>
    <col min="8209" max="8209" width="22.28515625" customWidth="1"/>
    <col min="8210" max="8210" width="16.7109375" customWidth="1"/>
    <col min="8211" max="8211" width="16" customWidth="1"/>
    <col min="8449" max="8449" width="14.28515625" customWidth="1"/>
    <col min="8450" max="8450" width="14.7109375" customWidth="1"/>
    <col min="8451" max="8451" width="14.28515625" customWidth="1"/>
    <col min="8453" max="8453" width="16.140625" customWidth="1"/>
    <col min="8455" max="8455" width="13" customWidth="1"/>
    <col min="8457" max="8457" width="14.5703125" customWidth="1"/>
    <col min="8459" max="8459" width="12.7109375" customWidth="1"/>
    <col min="8461" max="8461" width="12.85546875" customWidth="1"/>
    <col min="8462" max="8462" width="14.7109375" customWidth="1"/>
    <col min="8463" max="8463" width="12.140625" customWidth="1"/>
    <col min="8464" max="8464" width="13.85546875" customWidth="1"/>
    <col min="8465" max="8465" width="22.28515625" customWidth="1"/>
    <col min="8466" max="8466" width="16.7109375" customWidth="1"/>
    <col min="8467" max="8467" width="16" customWidth="1"/>
    <col min="8705" max="8705" width="14.28515625" customWidth="1"/>
    <col min="8706" max="8706" width="14.7109375" customWidth="1"/>
    <col min="8707" max="8707" width="14.28515625" customWidth="1"/>
    <col min="8709" max="8709" width="16.140625" customWidth="1"/>
    <col min="8711" max="8711" width="13" customWidth="1"/>
    <col min="8713" max="8713" width="14.5703125" customWidth="1"/>
    <col min="8715" max="8715" width="12.7109375" customWidth="1"/>
    <col min="8717" max="8717" width="12.85546875" customWidth="1"/>
    <col min="8718" max="8718" width="14.7109375" customWidth="1"/>
    <col min="8719" max="8719" width="12.140625" customWidth="1"/>
    <col min="8720" max="8720" width="13.85546875" customWidth="1"/>
    <col min="8721" max="8721" width="22.28515625" customWidth="1"/>
    <col min="8722" max="8722" width="16.7109375" customWidth="1"/>
    <col min="8723" max="8723" width="16" customWidth="1"/>
    <col min="8961" max="8961" width="14.28515625" customWidth="1"/>
    <col min="8962" max="8962" width="14.7109375" customWidth="1"/>
    <col min="8963" max="8963" width="14.28515625" customWidth="1"/>
    <col min="8965" max="8965" width="16.140625" customWidth="1"/>
    <col min="8967" max="8967" width="13" customWidth="1"/>
    <col min="8969" max="8969" width="14.5703125" customWidth="1"/>
    <col min="8971" max="8971" width="12.7109375" customWidth="1"/>
    <col min="8973" max="8973" width="12.85546875" customWidth="1"/>
    <col min="8974" max="8974" width="14.7109375" customWidth="1"/>
    <col min="8975" max="8975" width="12.140625" customWidth="1"/>
    <col min="8976" max="8976" width="13.85546875" customWidth="1"/>
    <col min="8977" max="8977" width="22.28515625" customWidth="1"/>
    <col min="8978" max="8978" width="16.7109375" customWidth="1"/>
    <col min="8979" max="8979" width="16" customWidth="1"/>
    <col min="9217" max="9217" width="14.28515625" customWidth="1"/>
    <col min="9218" max="9218" width="14.7109375" customWidth="1"/>
    <col min="9219" max="9219" width="14.28515625" customWidth="1"/>
    <col min="9221" max="9221" width="16.140625" customWidth="1"/>
    <col min="9223" max="9223" width="13" customWidth="1"/>
    <col min="9225" max="9225" width="14.5703125" customWidth="1"/>
    <col min="9227" max="9227" width="12.7109375" customWidth="1"/>
    <col min="9229" max="9229" width="12.85546875" customWidth="1"/>
    <col min="9230" max="9230" width="14.7109375" customWidth="1"/>
    <col min="9231" max="9231" width="12.140625" customWidth="1"/>
    <col min="9232" max="9232" width="13.85546875" customWidth="1"/>
    <col min="9233" max="9233" width="22.28515625" customWidth="1"/>
    <col min="9234" max="9234" width="16.7109375" customWidth="1"/>
    <col min="9235" max="9235" width="16" customWidth="1"/>
    <col min="9473" max="9473" width="14.28515625" customWidth="1"/>
    <col min="9474" max="9474" width="14.7109375" customWidth="1"/>
    <col min="9475" max="9475" width="14.28515625" customWidth="1"/>
    <col min="9477" max="9477" width="16.140625" customWidth="1"/>
    <col min="9479" max="9479" width="13" customWidth="1"/>
    <col min="9481" max="9481" width="14.5703125" customWidth="1"/>
    <col min="9483" max="9483" width="12.7109375" customWidth="1"/>
    <col min="9485" max="9485" width="12.85546875" customWidth="1"/>
    <col min="9486" max="9486" width="14.7109375" customWidth="1"/>
    <col min="9487" max="9487" width="12.140625" customWidth="1"/>
    <col min="9488" max="9488" width="13.85546875" customWidth="1"/>
    <col min="9489" max="9489" width="22.28515625" customWidth="1"/>
    <col min="9490" max="9490" width="16.7109375" customWidth="1"/>
    <col min="9491" max="9491" width="16" customWidth="1"/>
    <col min="9729" max="9729" width="14.28515625" customWidth="1"/>
    <col min="9730" max="9730" width="14.7109375" customWidth="1"/>
    <col min="9731" max="9731" width="14.28515625" customWidth="1"/>
    <col min="9733" max="9733" width="16.140625" customWidth="1"/>
    <col min="9735" max="9735" width="13" customWidth="1"/>
    <col min="9737" max="9737" width="14.5703125" customWidth="1"/>
    <col min="9739" max="9739" width="12.7109375" customWidth="1"/>
    <col min="9741" max="9741" width="12.85546875" customWidth="1"/>
    <col min="9742" max="9742" width="14.7109375" customWidth="1"/>
    <col min="9743" max="9743" width="12.140625" customWidth="1"/>
    <col min="9744" max="9744" width="13.85546875" customWidth="1"/>
    <col min="9745" max="9745" width="22.28515625" customWidth="1"/>
    <col min="9746" max="9746" width="16.7109375" customWidth="1"/>
    <col min="9747" max="9747" width="16" customWidth="1"/>
    <col min="9985" max="9985" width="14.28515625" customWidth="1"/>
    <col min="9986" max="9986" width="14.7109375" customWidth="1"/>
    <col min="9987" max="9987" width="14.28515625" customWidth="1"/>
    <col min="9989" max="9989" width="16.140625" customWidth="1"/>
    <col min="9991" max="9991" width="13" customWidth="1"/>
    <col min="9993" max="9993" width="14.5703125" customWidth="1"/>
    <col min="9995" max="9995" width="12.7109375" customWidth="1"/>
    <col min="9997" max="9997" width="12.85546875" customWidth="1"/>
    <col min="9998" max="9998" width="14.7109375" customWidth="1"/>
    <col min="9999" max="9999" width="12.140625" customWidth="1"/>
    <col min="10000" max="10000" width="13.85546875" customWidth="1"/>
    <col min="10001" max="10001" width="22.28515625" customWidth="1"/>
    <col min="10002" max="10002" width="16.7109375" customWidth="1"/>
    <col min="10003" max="10003" width="16" customWidth="1"/>
    <col min="10241" max="10241" width="14.28515625" customWidth="1"/>
    <col min="10242" max="10242" width="14.7109375" customWidth="1"/>
    <col min="10243" max="10243" width="14.28515625" customWidth="1"/>
    <col min="10245" max="10245" width="16.140625" customWidth="1"/>
    <col min="10247" max="10247" width="13" customWidth="1"/>
    <col min="10249" max="10249" width="14.5703125" customWidth="1"/>
    <col min="10251" max="10251" width="12.7109375" customWidth="1"/>
    <col min="10253" max="10253" width="12.85546875" customWidth="1"/>
    <col min="10254" max="10254" width="14.7109375" customWidth="1"/>
    <col min="10255" max="10255" width="12.140625" customWidth="1"/>
    <col min="10256" max="10256" width="13.85546875" customWidth="1"/>
    <col min="10257" max="10257" width="22.28515625" customWidth="1"/>
    <col min="10258" max="10258" width="16.7109375" customWidth="1"/>
    <col min="10259" max="10259" width="16" customWidth="1"/>
    <col min="10497" max="10497" width="14.28515625" customWidth="1"/>
    <col min="10498" max="10498" width="14.7109375" customWidth="1"/>
    <col min="10499" max="10499" width="14.28515625" customWidth="1"/>
    <col min="10501" max="10501" width="16.140625" customWidth="1"/>
    <col min="10503" max="10503" width="13" customWidth="1"/>
    <col min="10505" max="10505" width="14.5703125" customWidth="1"/>
    <col min="10507" max="10507" width="12.7109375" customWidth="1"/>
    <col min="10509" max="10509" width="12.85546875" customWidth="1"/>
    <col min="10510" max="10510" width="14.7109375" customWidth="1"/>
    <col min="10511" max="10511" width="12.140625" customWidth="1"/>
    <col min="10512" max="10512" width="13.85546875" customWidth="1"/>
    <col min="10513" max="10513" width="22.28515625" customWidth="1"/>
    <col min="10514" max="10514" width="16.7109375" customWidth="1"/>
    <col min="10515" max="10515" width="16" customWidth="1"/>
    <col min="10753" max="10753" width="14.28515625" customWidth="1"/>
    <col min="10754" max="10754" width="14.7109375" customWidth="1"/>
    <col min="10755" max="10755" width="14.28515625" customWidth="1"/>
    <col min="10757" max="10757" width="16.140625" customWidth="1"/>
    <col min="10759" max="10759" width="13" customWidth="1"/>
    <col min="10761" max="10761" width="14.5703125" customWidth="1"/>
    <col min="10763" max="10763" width="12.7109375" customWidth="1"/>
    <col min="10765" max="10765" width="12.85546875" customWidth="1"/>
    <col min="10766" max="10766" width="14.7109375" customWidth="1"/>
    <col min="10767" max="10767" width="12.140625" customWidth="1"/>
    <col min="10768" max="10768" width="13.85546875" customWidth="1"/>
    <col min="10769" max="10769" width="22.28515625" customWidth="1"/>
    <col min="10770" max="10770" width="16.7109375" customWidth="1"/>
    <col min="10771" max="10771" width="16" customWidth="1"/>
    <col min="11009" max="11009" width="14.28515625" customWidth="1"/>
    <col min="11010" max="11010" width="14.7109375" customWidth="1"/>
    <col min="11011" max="11011" width="14.28515625" customWidth="1"/>
    <col min="11013" max="11013" width="16.140625" customWidth="1"/>
    <col min="11015" max="11015" width="13" customWidth="1"/>
    <col min="11017" max="11017" width="14.5703125" customWidth="1"/>
    <col min="11019" max="11019" width="12.7109375" customWidth="1"/>
    <col min="11021" max="11021" width="12.85546875" customWidth="1"/>
    <col min="11022" max="11022" width="14.7109375" customWidth="1"/>
    <col min="11023" max="11023" width="12.140625" customWidth="1"/>
    <col min="11024" max="11024" width="13.85546875" customWidth="1"/>
    <col min="11025" max="11025" width="22.28515625" customWidth="1"/>
    <col min="11026" max="11026" width="16.7109375" customWidth="1"/>
    <col min="11027" max="11027" width="16" customWidth="1"/>
    <col min="11265" max="11265" width="14.28515625" customWidth="1"/>
    <col min="11266" max="11266" width="14.7109375" customWidth="1"/>
    <col min="11267" max="11267" width="14.28515625" customWidth="1"/>
    <col min="11269" max="11269" width="16.140625" customWidth="1"/>
    <col min="11271" max="11271" width="13" customWidth="1"/>
    <col min="11273" max="11273" width="14.5703125" customWidth="1"/>
    <col min="11275" max="11275" width="12.7109375" customWidth="1"/>
    <col min="11277" max="11277" width="12.85546875" customWidth="1"/>
    <col min="11278" max="11278" width="14.7109375" customWidth="1"/>
    <col min="11279" max="11279" width="12.140625" customWidth="1"/>
    <col min="11280" max="11280" width="13.85546875" customWidth="1"/>
    <col min="11281" max="11281" width="22.28515625" customWidth="1"/>
    <col min="11282" max="11282" width="16.7109375" customWidth="1"/>
    <col min="11283" max="11283" width="16" customWidth="1"/>
    <col min="11521" max="11521" width="14.28515625" customWidth="1"/>
    <col min="11522" max="11522" width="14.7109375" customWidth="1"/>
    <col min="11523" max="11523" width="14.28515625" customWidth="1"/>
    <col min="11525" max="11525" width="16.140625" customWidth="1"/>
    <col min="11527" max="11527" width="13" customWidth="1"/>
    <col min="11529" max="11529" width="14.5703125" customWidth="1"/>
    <col min="11531" max="11531" width="12.7109375" customWidth="1"/>
    <col min="11533" max="11533" width="12.85546875" customWidth="1"/>
    <col min="11534" max="11534" width="14.7109375" customWidth="1"/>
    <col min="11535" max="11535" width="12.140625" customWidth="1"/>
    <col min="11536" max="11536" width="13.85546875" customWidth="1"/>
    <col min="11537" max="11537" width="22.28515625" customWidth="1"/>
    <col min="11538" max="11538" width="16.7109375" customWidth="1"/>
    <col min="11539" max="11539" width="16" customWidth="1"/>
    <col min="11777" max="11777" width="14.28515625" customWidth="1"/>
    <col min="11778" max="11778" width="14.7109375" customWidth="1"/>
    <col min="11779" max="11779" width="14.28515625" customWidth="1"/>
    <col min="11781" max="11781" width="16.140625" customWidth="1"/>
    <col min="11783" max="11783" width="13" customWidth="1"/>
    <col min="11785" max="11785" width="14.5703125" customWidth="1"/>
    <col min="11787" max="11787" width="12.7109375" customWidth="1"/>
    <col min="11789" max="11789" width="12.85546875" customWidth="1"/>
    <col min="11790" max="11790" width="14.7109375" customWidth="1"/>
    <col min="11791" max="11791" width="12.140625" customWidth="1"/>
    <col min="11792" max="11792" width="13.85546875" customWidth="1"/>
    <col min="11793" max="11793" width="22.28515625" customWidth="1"/>
    <col min="11794" max="11794" width="16.7109375" customWidth="1"/>
    <col min="11795" max="11795" width="16" customWidth="1"/>
    <col min="12033" max="12033" width="14.28515625" customWidth="1"/>
    <col min="12034" max="12034" width="14.7109375" customWidth="1"/>
    <col min="12035" max="12035" width="14.28515625" customWidth="1"/>
    <col min="12037" max="12037" width="16.140625" customWidth="1"/>
    <col min="12039" max="12039" width="13" customWidth="1"/>
    <col min="12041" max="12041" width="14.5703125" customWidth="1"/>
    <col min="12043" max="12043" width="12.7109375" customWidth="1"/>
    <col min="12045" max="12045" width="12.85546875" customWidth="1"/>
    <col min="12046" max="12046" width="14.7109375" customWidth="1"/>
    <col min="12047" max="12047" width="12.140625" customWidth="1"/>
    <col min="12048" max="12048" width="13.85546875" customWidth="1"/>
    <col min="12049" max="12049" width="22.28515625" customWidth="1"/>
    <col min="12050" max="12050" width="16.7109375" customWidth="1"/>
    <col min="12051" max="12051" width="16" customWidth="1"/>
    <col min="12289" max="12289" width="14.28515625" customWidth="1"/>
    <col min="12290" max="12290" width="14.7109375" customWidth="1"/>
    <col min="12291" max="12291" width="14.28515625" customWidth="1"/>
    <col min="12293" max="12293" width="16.140625" customWidth="1"/>
    <col min="12295" max="12295" width="13" customWidth="1"/>
    <col min="12297" max="12297" width="14.5703125" customWidth="1"/>
    <col min="12299" max="12299" width="12.7109375" customWidth="1"/>
    <col min="12301" max="12301" width="12.85546875" customWidth="1"/>
    <col min="12302" max="12302" width="14.7109375" customWidth="1"/>
    <col min="12303" max="12303" width="12.140625" customWidth="1"/>
    <col min="12304" max="12304" width="13.85546875" customWidth="1"/>
    <col min="12305" max="12305" width="22.28515625" customWidth="1"/>
    <col min="12306" max="12306" width="16.7109375" customWidth="1"/>
    <col min="12307" max="12307" width="16" customWidth="1"/>
    <col min="12545" max="12545" width="14.28515625" customWidth="1"/>
    <col min="12546" max="12546" width="14.7109375" customWidth="1"/>
    <col min="12547" max="12547" width="14.28515625" customWidth="1"/>
    <col min="12549" max="12549" width="16.140625" customWidth="1"/>
    <col min="12551" max="12551" width="13" customWidth="1"/>
    <col min="12553" max="12553" width="14.5703125" customWidth="1"/>
    <col min="12555" max="12555" width="12.7109375" customWidth="1"/>
    <col min="12557" max="12557" width="12.85546875" customWidth="1"/>
    <col min="12558" max="12558" width="14.7109375" customWidth="1"/>
    <col min="12559" max="12559" width="12.140625" customWidth="1"/>
    <col min="12560" max="12560" width="13.85546875" customWidth="1"/>
    <col min="12561" max="12561" width="22.28515625" customWidth="1"/>
    <col min="12562" max="12562" width="16.7109375" customWidth="1"/>
    <col min="12563" max="12563" width="16" customWidth="1"/>
    <col min="12801" max="12801" width="14.28515625" customWidth="1"/>
    <col min="12802" max="12802" width="14.7109375" customWidth="1"/>
    <col min="12803" max="12803" width="14.28515625" customWidth="1"/>
    <col min="12805" max="12805" width="16.140625" customWidth="1"/>
    <col min="12807" max="12807" width="13" customWidth="1"/>
    <col min="12809" max="12809" width="14.5703125" customWidth="1"/>
    <col min="12811" max="12811" width="12.7109375" customWidth="1"/>
    <col min="12813" max="12813" width="12.85546875" customWidth="1"/>
    <col min="12814" max="12814" width="14.7109375" customWidth="1"/>
    <col min="12815" max="12815" width="12.140625" customWidth="1"/>
    <col min="12816" max="12816" width="13.85546875" customWidth="1"/>
    <col min="12817" max="12817" width="22.28515625" customWidth="1"/>
    <col min="12818" max="12818" width="16.7109375" customWidth="1"/>
    <col min="12819" max="12819" width="16" customWidth="1"/>
    <col min="13057" max="13057" width="14.28515625" customWidth="1"/>
    <col min="13058" max="13058" width="14.7109375" customWidth="1"/>
    <col min="13059" max="13059" width="14.28515625" customWidth="1"/>
    <col min="13061" max="13061" width="16.140625" customWidth="1"/>
    <col min="13063" max="13063" width="13" customWidth="1"/>
    <col min="13065" max="13065" width="14.5703125" customWidth="1"/>
    <col min="13067" max="13067" width="12.7109375" customWidth="1"/>
    <col min="13069" max="13069" width="12.85546875" customWidth="1"/>
    <col min="13070" max="13070" width="14.7109375" customWidth="1"/>
    <col min="13071" max="13071" width="12.140625" customWidth="1"/>
    <col min="13072" max="13072" width="13.85546875" customWidth="1"/>
    <col min="13073" max="13073" width="22.28515625" customWidth="1"/>
    <col min="13074" max="13074" width="16.7109375" customWidth="1"/>
    <col min="13075" max="13075" width="16" customWidth="1"/>
    <col min="13313" max="13313" width="14.28515625" customWidth="1"/>
    <col min="13314" max="13314" width="14.7109375" customWidth="1"/>
    <col min="13315" max="13315" width="14.28515625" customWidth="1"/>
    <col min="13317" max="13317" width="16.140625" customWidth="1"/>
    <col min="13319" max="13319" width="13" customWidth="1"/>
    <col min="13321" max="13321" width="14.5703125" customWidth="1"/>
    <col min="13323" max="13323" width="12.7109375" customWidth="1"/>
    <col min="13325" max="13325" width="12.85546875" customWidth="1"/>
    <col min="13326" max="13326" width="14.7109375" customWidth="1"/>
    <col min="13327" max="13327" width="12.140625" customWidth="1"/>
    <col min="13328" max="13328" width="13.85546875" customWidth="1"/>
    <col min="13329" max="13329" width="22.28515625" customWidth="1"/>
    <col min="13330" max="13330" width="16.7109375" customWidth="1"/>
    <col min="13331" max="13331" width="16" customWidth="1"/>
    <col min="13569" max="13569" width="14.28515625" customWidth="1"/>
    <col min="13570" max="13570" width="14.7109375" customWidth="1"/>
    <col min="13571" max="13571" width="14.28515625" customWidth="1"/>
    <col min="13573" max="13573" width="16.140625" customWidth="1"/>
    <col min="13575" max="13575" width="13" customWidth="1"/>
    <col min="13577" max="13577" width="14.5703125" customWidth="1"/>
    <col min="13579" max="13579" width="12.7109375" customWidth="1"/>
    <col min="13581" max="13581" width="12.85546875" customWidth="1"/>
    <col min="13582" max="13582" width="14.7109375" customWidth="1"/>
    <col min="13583" max="13583" width="12.140625" customWidth="1"/>
    <col min="13584" max="13584" width="13.85546875" customWidth="1"/>
    <col min="13585" max="13585" width="22.28515625" customWidth="1"/>
    <col min="13586" max="13586" width="16.7109375" customWidth="1"/>
    <col min="13587" max="13587" width="16" customWidth="1"/>
    <col min="13825" max="13825" width="14.28515625" customWidth="1"/>
    <col min="13826" max="13826" width="14.7109375" customWidth="1"/>
    <col min="13827" max="13827" width="14.28515625" customWidth="1"/>
    <col min="13829" max="13829" width="16.140625" customWidth="1"/>
    <col min="13831" max="13831" width="13" customWidth="1"/>
    <col min="13833" max="13833" width="14.5703125" customWidth="1"/>
    <col min="13835" max="13835" width="12.7109375" customWidth="1"/>
    <col min="13837" max="13837" width="12.85546875" customWidth="1"/>
    <col min="13838" max="13838" width="14.7109375" customWidth="1"/>
    <col min="13839" max="13839" width="12.140625" customWidth="1"/>
    <col min="13840" max="13840" width="13.85546875" customWidth="1"/>
    <col min="13841" max="13841" width="22.28515625" customWidth="1"/>
    <col min="13842" max="13842" width="16.7109375" customWidth="1"/>
    <col min="13843" max="13843" width="16" customWidth="1"/>
    <col min="14081" max="14081" width="14.28515625" customWidth="1"/>
    <col min="14082" max="14082" width="14.7109375" customWidth="1"/>
    <col min="14083" max="14083" width="14.28515625" customWidth="1"/>
    <col min="14085" max="14085" width="16.140625" customWidth="1"/>
    <col min="14087" max="14087" width="13" customWidth="1"/>
    <col min="14089" max="14089" width="14.5703125" customWidth="1"/>
    <col min="14091" max="14091" width="12.7109375" customWidth="1"/>
    <col min="14093" max="14093" width="12.85546875" customWidth="1"/>
    <col min="14094" max="14094" width="14.7109375" customWidth="1"/>
    <col min="14095" max="14095" width="12.140625" customWidth="1"/>
    <col min="14096" max="14096" width="13.85546875" customWidth="1"/>
    <col min="14097" max="14097" width="22.28515625" customWidth="1"/>
    <col min="14098" max="14098" width="16.7109375" customWidth="1"/>
    <col min="14099" max="14099" width="16" customWidth="1"/>
    <col min="14337" max="14337" width="14.28515625" customWidth="1"/>
    <col min="14338" max="14338" width="14.7109375" customWidth="1"/>
    <col min="14339" max="14339" width="14.28515625" customWidth="1"/>
    <col min="14341" max="14341" width="16.140625" customWidth="1"/>
    <col min="14343" max="14343" width="13" customWidth="1"/>
    <col min="14345" max="14345" width="14.5703125" customWidth="1"/>
    <col min="14347" max="14347" width="12.7109375" customWidth="1"/>
    <col min="14349" max="14349" width="12.85546875" customWidth="1"/>
    <col min="14350" max="14350" width="14.7109375" customWidth="1"/>
    <col min="14351" max="14351" width="12.140625" customWidth="1"/>
    <col min="14352" max="14352" width="13.85546875" customWidth="1"/>
    <col min="14353" max="14353" width="22.28515625" customWidth="1"/>
    <col min="14354" max="14354" width="16.7109375" customWidth="1"/>
    <col min="14355" max="14355" width="16" customWidth="1"/>
    <col min="14593" max="14593" width="14.28515625" customWidth="1"/>
    <col min="14594" max="14594" width="14.7109375" customWidth="1"/>
    <col min="14595" max="14595" width="14.28515625" customWidth="1"/>
    <col min="14597" max="14597" width="16.140625" customWidth="1"/>
    <col min="14599" max="14599" width="13" customWidth="1"/>
    <col min="14601" max="14601" width="14.5703125" customWidth="1"/>
    <col min="14603" max="14603" width="12.7109375" customWidth="1"/>
    <col min="14605" max="14605" width="12.85546875" customWidth="1"/>
    <col min="14606" max="14606" width="14.7109375" customWidth="1"/>
    <col min="14607" max="14607" width="12.140625" customWidth="1"/>
    <col min="14608" max="14608" width="13.85546875" customWidth="1"/>
    <col min="14609" max="14609" width="22.28515625" customWidth="1"/>
    <col min="14610" max="14610" width="16.7109375" customWidth="1"/>
    <col min="14611" max="14611" width="16" customWidth="1"/>
    <col min="14849" max="14849" width="14.28515625" customWidth="1"/>
    <col min="14850" max="14850" width="14.7109375" customWidth="1"/>
    <col min="14851" max="14851" width="14.28515625" customWidth="1"/>
    <col min="14853" max="14853" width="16.140625" customWidth="1"/>
    <col min="14855" max="14855" width="13" customWidth="1"/>
    <col min="14857" max="14857" width="14.5703125" customWidth="1"/>
    <col min="14859" max="14859" width="12.7109375" customWidth="1"/>
    <col min="14861" max="14861" width="12.85546875" customWidth="1"/>
    <col min="14862" max="14862" width="14.7109375" customWidth="1"/>
    <col min="14863" max="14863" width="12.140625" customWidth="1"/>
    <col min="14864" max="14864" width="13.85546875" customWidth="1"/>
    <col min="14865" max="14865" width="22.28515625" customWidth="1"/>
    <col min="14866" max="14866" width="16.7109375" customWidth="1"/>
    <col min="14867" max="14867" width="16" customWidth="1"/>
    <col min="15105" max="15105" width="14.28515625" customWidth="1"/>
    <col min="15106" max="15106" width="14.7109375" customWidth="1"/>
    <col min="15107" max="15107" width="14.28515625" customWidth="1"/>
    <col min="15109" max="15109" width="16.140625" customWidth="1"/>
    <col min="15111" max="15111" width="13" customWidth="1"/>
    <col min="15113" max="15113" width="14.5703125" customWidth="1"/>
    <col min="15115" max="15115" width="12.7109375" customWidth="1"/>
    <col min="15117" max="15117" width="12.85546875" customWidth="1"/>
    <col min="15118" max="15118" width="14.7109375" customWidth="1"/>
    <col min="15119" max="15119" width="12.140625" customWidth="1"/>
    <col min="15120" max="15120" width="13.85546875" customWidth="1"/>
    <col min="15121" max="15121" width="22.28515625" customWidth="1"/>
    <col min="15122" max="15122" width="16.7109375" customWidth="1"/>
    <col min="15123" max="15123" width="16" customWidth="1"/>
    <col min="15361" max="15361" width="14.28515625" customWidth="1"/>
    <col min="15362" max="15362" width="14.7109375" customWidth="1"/>
    <col min="15363" max="15363" width="14.28515625" customWidth="1"/>
    <col min="15365" max="15365" width="16.140625" customWidth="1"/>
    <col min="15367" max="15367" width="13" customWidth="1"/>
    <col min="15369" max="15369" width="14.5703125" customWidth="1"/>
    <col min="15371" max="15371" width="12.7109375" customWidth="1"/>
    <col min="15373" max="15373" width="12.85546875" customWidth="1"/>
    <col min="15374" max="15374" width="14.7109375" customWidth="1"/>
    <col min="15375" max="15375" width="12.140625" customWidth="1"/>
    <col min="15376" max="15376" width="13.85546875" customWidth="1"/>
    <col min="15377" max="15377" width="22.28515625" customWidth="1"/>
    <col min="15378" max="15378" width="16.7109375" customWidth="1"/>
    <col min="15379" max="15379" width="16" customWidth="1"/>
    <col min="15617" max="15617" width="14.28515625" customWidth="1"/>
    <col min="15618" max="15618" width="14.7109375" customWidth="1"/>
    <col min="15619" max="15619" width="14.28515625" customWidth="1"/>
    <col min="15621" max="15621" width="16.140625" customWidth="1"/>
    <col min="15623" max="15623" width="13" customWidth="1"/>
    <col min="15625" max="15625" width="14.5703125" customWidth="1"/>
    <col min="15627" max="15627" width="12.7109375" customWidth="1"/>
    <col min="15629" max="15629" width="12.85546875" customWidth="1"/>
    <col min="15630" max="15630" width="14.7109375" customWidth="1"/>
    <col min="15631" max="15631" width="12.140625" customWidth="1"/>
    <col min="15632" max="15632" width="13.85546875" customWidth="1"/>
    <col min="15633" max="15633" width="22.28515625" customWidth="1"/>
    <col min="15634" max="15634" width="16.7109375" customWidth="1"/>
    <col min="15635" max="15635" width="16" customWidth="1"/>
    <col min="15873" max="15873" width="14.28515625" customWidth="1"/>
    <col min="15874" max="15874" width="14.7109375" customWidth="1"/>
    <col min="15875" max="15875" width="14.28515625" customWidth="1"/>
    <col min="15877" max="15877" width="16.140625" customWidth="1"/>
    <col min="15879" max="15879" width="13" customWidth="1"/>
    <col min="15881" max="15881" width="14.5703125" customWidth="1"/>
    <col min="15883" max="15883" width="12.7109375" customWidth="1"/>
    <col min="15885" max="15885" width="12.85546875" customWidth="1"/>
    <col min="15886" max="15886" width="14.7109375" customWidth="1"/>
    <col min="15887" max="15887" width="12.140625" customWidth="1"/>
    <col min="15888" max="15888" width="13.85546875" customWidth="1"/>
    <col min="15889" max="15889" width="22.28515625" customWidth="1"/>
    <col min="15890" max="15890" width="16.7109375" customWidth="1"/>
    <col min="15891" max="15891" width="16" customWidth="1"/>
    <col min="16129" max="16129" width="14.28515625" customWidth="1"/>
    <col min="16130" max="16130" width="14.7109375" customWidth="1"/>
    <col min="16131" max="16131" width="14.28515625" customWidth="1"/>
    <col min="16133" max="16133" width="16.140625" customWidth="1"/>
    <col min="16135" max="16135" width="13" customWidth="1"/>
    <col min="16137" max="16137" width="14.5703125" customWidth="1"/>
    <col min="16139" max="16139" width="12.7109375" customWidth="1"/>
    <col min="16141" max="16141" width="12.85546875" customWidth="1"/>
    <col min="16142" max="16142" width="14.7109375" customWidth="1"/>
    <col min="16143" max="16143" width="12.140625" customWidth="1"/>
    <col min="16144" max="16144" width="13.85546875" customWidth="1"/>
    <col min="16145" max="16145" width="22.28515625" customWidth="1"/>
    <col min="16146" max="16146" width="16.7109375" customWidth="1"/>
    <col min="16147" max="16147" width="16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14</v>
      </c>
      <c r="B6">
        <v>112</v>
      </c>
      <c r="C6">
        <v>946.79661999999996</v>
      </c>
      <c r="D6">
        <v>29</v>
      </c>
      <c r="E6">
        <v>803.0729</v>
      </c>
      <c r="F6">
        <v>46</v>
      </c>
      <c r="G6">
        <v>299.01143999999999</v>
      </c>
      <c r="H6">
        <v>124</v>
      </c>
      <c r="I6">
        <v>112.12590199999998</v>
      </c>
      <c r="J6">
        <v>237</v>
      </c>
      <c r="K6">
        <v>43.960867999999998</v>
      </c>
      <c r="L6">
        <v>270</v>
      </c>
      <c r="M6">
        <v>19.121956000000001</v>
      </c>
      <c r="N6">
        <v>197</v>
      </c>
      <c r="O6">
        <v>8.8088643999999992</v>
      </c>
      <c r="P6" s="3">
        <f>(B6*C6)+(D6*E6)+(F6*G6)+(H6*I6)+(J6*K6)+(L6*M6)+(N6*O6)</f>
        <v>174305.47375079998</v>
      </c>
    </row>
    <row r="7" spans="1:19" x14ac:dyDescent="0.2">
      <c r="A7">
        <v>20000</v>
      </c>
      <c r="B7">
        <v>65</v>
      </c>
      <c r="C7">
        <v>946.79661999999996</v>
      </c>
      <c r="D7">
        <v>70</v>
      </c>
      <c r="E7">
        <v>803.0729</v>
      </c>
      <c r="F7">
        <v>174</v>
      </c>
      <c r="G7">
        <v>299.01143999999999</v>
      </c>
      <c r="H7">
        <v>402</v>
      </c>
      <c r="I7">
        <v>112.12590199999998</v>
      </c>
      <c r="J7">
        <v>760</v>
      </c>
      <c r="K7">
        <v>43.960867999999998</v>
      </c>
      <c r="L7">
        <v>704</v>
      </c>
      <c r="M7">
        <v>19.121956000000001</v>
      </c>
      <c r="N7">
        <v>483</v>
      </c>
      <c r="O7">
        <v>8.8088643999999992</v>
      </c>
      <c r="P7" s="3">
        <f t="shared" ref="P7:P24" si="0">(B7*C7)+(D7*E7)+(F7*G7)+(H7*I7)+(J7*K7)+(L7*M7)+(N7*O7)</f>
        <v>265986.28467319999</v>
      </c>
    </row>
    <row r="8" spans="1:19" x14ac:dyDescent="0.2">
      <c r="A8">
        <v>30000</v>
      </c>
      <c r="B8">
        <v>22</v>
      </c>
      <c r="C8">
        <v>946.79661999999996</v>
      </c>
      <c r="D8">
        <v>35</v>
      </c>
      <c r="E8">
        <v>803.0729</v>
      </c>
      <c r="F8">
        <v>105</v>
      </c>
      <c r="G8">
        <v>299.01143999999999</v>
      </c>
      <c r="H8">
        <v>240</v>
      </c>
      <c r="I8">
        <v>112.12590199999998</v>
      </c>
      <c r="J8">
        <v>450</v>
      </c>
      <c r="K8">
        <v>43.960867999999998</v>
      </c>
      <c r="L8">
        <v>413</v>
      </c>
      <c r="M8">
        <v>19.121956000000001</v>
      </c>
      <c r="N8">
        <v>328</v>
      </c>
      <c r="O8">
        <v>8.8088643999999992</v>
      </c>
      <c r="P8" s="3">
        <f t="shared" si="0"/>
        <v>137812.56077119999</v>
      </c>
    </row>
    <row r="9" spans="1:19" x14ac:dyDescent="0.2">
      <c r="A9">
        <v>40000</v>
      </c>
      <c r="B9">
        <v>13</v>
      </c>
      <c r="C9">
        <v>946.79661999999996</v>
      </c>
      <c r="D9">
        <v>18</v>
      </c>
      <c r="E9">
        <v>803.0729</v>
      </c>
      <c r="F9">
        <v>49</v>
      </c>
      <c r="G9">
        <v>299.01143999999999</v>
      </c>
      <c r="H9">
        <v>141</v>
      </c>
      <c r="I9">
        <v>112.12590199999998</v>
      </c>
      <c r="J9">
        <v>304</v>
      </c>
      <c r="K9">
        <v>43.960867999999998</v>
      </c>
      <c r="L9">
        <v>332</v>
      </c>
      <c r="M9">
        <v>19.121956000000001</v>
      </c>
      <c r="N9">
        <v>225</v>
      </c>
      <c r="O9">
        <v>8.8088643999999992</v>
      </c>
      <c r="P9" s="3">
        <f t="shared" si="0"/>
        <v>78919.568755999993</v>
      </c>
    </row>
    <row r="10" spans="1:19" x14ac:dyDescent="0.2">
      <c r="A10">
        <v>50000</v>
      </c>
      <c r="B10">
        <v>3</v>
      </c>
      <c r="C10">
        <v>946.79661999999996</v>
      </c>
      <c r="D10">
        <v>8</v>
      </c>
      <c r="E10">
        <v>803.0729</v>
      </c>
      <c r="F10">
        <v>28</v>
      </c>
      <c r="G10">
        <v>299.01143999999999</v>
      </c>
      <c r="H10">
        <v>112</v>
      </c>
      <c r="I10">
        <v>112.12590199999998</v>
      </c>
      <c r="J10">
        <v>231</v>
      </c>
      <c r="K10">
        <v>43.960867999999998</v>
      </c>
      <c r="L10">
        <v>256</v>
      </c>
      <c r="M10">
        <v>19.121956000000001</v>
      </c>
      <c r="N10">
        <v>181</v>
      </c>
      <c r="O10">
        <v>8.8088643999999992</v>
      </c>
      <c r="P10" s="3">
        <f t="shared" si="0"/>
        <v>46839.980104399998</v>
      </c>
      <c r="Q10" s="3">
        <f t="shared" ref="Q10:Q22" si="1">Q11+P10</f>
        <v>217242.48364839997</v>
      </c>
      <c r="R10">
        <v>4151241</v>
      </c>
      <c r="S10" s="21">
        <f t="shared" ref="S10:S23" si="2">(Q10/R10)*100</f>
        <v>5.233193728053851</v>
      </c>
    </row>
    <row r="11" spans="1:19" x14ac:dyDescent="0.2">
      <c r="A11">
        <v>60000</v>
      </c>
      <c r="B11">
        <v>4</v>
      </c>
      <c r="C11">
        <v>946.79661999999996</v>
      </c>
      <c r="D11">
        <v>9</v>
      </c>
      <c r="E11">
        <v>803.0729</v>
      </c>
      <c r="F11">
        <v>28</v>
      </c>
      <c r="G11">
        <v>299.01143999999999</v>
      </c>
      <c r="H11">
        <v>85</v>
      </c>
      <c r="I11">
        <v>112.12590199999998</v>
      </c>
      <c r="J11">
        <v>183</v>
      </c>
      <c r="K11">
        <v>43.960867999999998</v>
      </c>
      <c r="L11">
        <v>161</v>
      </c>
      <c r="M11">
        <v>19.121956000000001</v>
      </c>
      <c r="N11">
        <v>126</v>
      </c>
      <c r="O11">
        <v>8.8088643999999992</v>
      </c>
      <c r="P11" s="3">
        <f t="shared" si="0"/>
        <v>41151.255244399996</v>
      </c>
      <c r="Q11" s="3">
        <f t="shared" si="1"/>
        <v>170402.50354399998</v>
      </c>
      <c r="R11">
        <v>4151241</v>
      </c>
      <c r="S11" s="21">
        <f t="shared" si="2"/>
        <v>4.1048569221589393</v>
      </c>
    </row>
    <row r="12" spans="1:19" x14ac:dyDescent="0.2">
      <c r="A12">
        <v>70000</v>
      </c>
      <c r="B12">
        <v>1</v>
      </c>
      <c r="C12">
        <v>946.79661999999996</v>
      </c>
      <c r="D12">
        <v>6</v>
      </c>
      <c r="E12">
        <v>803.0729</v>
      </c>
      <c r="F12">
        <v>15</v>
      </c>
      <c r="G12">
        <v>299.01143999999999</v>
      </c>
      <c r="H12">
        <v>53</v>
      </c>
      <c r="I12">
        <v>112.12590199999998</v>
      </c>
      <c r="J12">
        <v>129</v>
      </c>
      <c r="K12">
        <v>43.960867999999998</v>
      </c>
      <c r="L12">
        <v>136</v>
      </c>
      <c r="M12">
        <v>19.121956000000001</v>
      </c>
      <c r="N12">
        <v>109</v>
      </c>
      <c r="O12">
        <v>8.8088643999999992</v>
      </c>
      <c r="P12" s="3">
        <f t="shared" si="0"/>
        <v>25424.7826336</v>
      </c>
      <c r="Q12" s="3">
        <f t="shared" si="1"/>
        <v>129251.24829959999</v>
      </c>
      <c r="R12">
        <v>4151241</v>
      </c>
      <c r="S12" s="21">
        <f t="shared" si="2"/>
        <v>3.1135568447989406</v>
      </c>
    </row>
    <row r="13" spans="1:19" x14ac:dyDescent="0.2">
      <c r="A13">
        <v>80000</v>
      </c>
      <c r="B13">
        <v>2</v>
      </c>
      <c r="C13">
        <v>946.79661999999996</v>
      </c>
      <c r="D13">
        <v>5</v>
      </c>
      <c r="E13">
        <v>803.0729</v>
      </c>
      <c r="F13">
        <v>17</v>
      </c>
      <c r="G13">
        <v>299.01143999999999</v>
      </c>
      <c r="H13">
        <v>48</v>
      </c>
      <c r="I13">
        <v>112.12590199999998</v>
      </c>
      <c r="J13">
        <v>97</v>
      </c>
      <c r="K13">
        <v>43.960867999999998</v>
      </c>
      <c r="L13">
        <v>126</v>
      </c>
      <c r="M13">
        <v>19.121956000000001</v>
      </c>
      <c r="N13">
        <v>77</v>
      </c>
      <c r="O13">
        <v>8.8088643999999992</v>
      </c>
      <c r="P13" s="3">
        <f t="shared" si="0"/>
        <v>23726.0487268</v>
      </c>
      <c r="Q13" s="3">
        <f t="shared" si="1"/>
        <v>103826.46566599999</v>
      </c>
      <c r="R13">
        <v>4151241</v>
      </c>
      <c r="S13" s="21">
        <f t="shared" si="2"/>
        <v>2.5010946284737501</v>
      </c>
    </row>
    <row r="14" spans="1:19" x14ac:dyDescent="0.2">
      <c r="A14">
        <v>90000</v>
      </c>
      <c r="B14">
        <v>0</v>
      </c>
      <c r="C14">
        <v>946.79661999999996</v>
      </c>
      <c r="D14">
        <v>4</v>
      </c>
      <c r="E14">
        <v>803.0729</v>
      </c>
      <c r="F14">
        <v>17</v>
      </c>
      <c r="G14">
        <v>299.01143999999999</v>
      </c>
      <c r="H14">
        <v>30</v>
      </c>
      <c r="I14">
        <v>112.12590199999998</v>
      </c>
      <c r="J14">
        <v>80</v>
      </c>
      <c r="K14">
        <v>43.960867999999998</v>
      </c>
      <c r="L14">
        <v>90</v>
      </c>
      <c r="M14">
        <v>19.121956000000001</v>
      </c>
      <c r="N14">
        <v>56</v>
      </c>
      <c r="O14">
        <v>8.8088643999999992</v>
      </c>
      <c r="P14" s="3">
        <f t="shared" si="0"/>
        <v>17390.4050264</v>
      </c>
      <c r="Q14" s="3">
        <f t="shared" si="1"/>
        <v>80100.416939199989</v>
      </c>
      <c r="R14">
        <v>4151241</v>
      </c>
      <c r="S14" s="21">
        <f>(Q14/R14)*100</f>
        <v>1.9295535224093225</v>
      </c>
    </row>
    <row r="15" spans="1:19" x14ac:dyDescent="0.2">
      <c r="A15">
        <v>100000</v>
      </c>
      <c r="B15">
        <v>5</v>
      </c>
      <c r="C15">
        <v>946.79661999999996</v>
      </c>
      <c r="D15">
        <v>0</v>
      </c>
      <c r="E15">
        <v>803.0729</v>
      </c>
      <c r="F15">
        <v>8</v>
      </c>
      <c r="G15">
        <v>299.01143999999999</v>
      </c>
      <c r="H15">
        <v>35</v>
      </c>
      <c r="I15">
        <v>112.12590199999998</v>
      </c>
      <c r="J15">
        <v>101</v>
      </c>
      <c r="K15">
        <v>43.960867999999998</v>
      </c>
      <c r="L15">
        <v>123</v>
      </c>
      <c r="M15">
        <v>19.121956000000001</v>
      </c>
      <c r="N15">
        <v>99</v>
      </c>
      <c r="O15">
        <v>8.8088643999999992</v>
      </c>
      <c r="P15" s="3">
        <f t="shared" si="0"/>
        <v>18714.607021599997</v>
      </c>
      <c r="Q15" s="3">
        <f t="shared" si="1"/>
        <v>62710.011912799993</v>
      </c>
      <c r="R15">
        <v>4151241</v>
      </c>
      <c r="S15" s="21">
        <f t="shared" si="2"/>
        <v>1.51063289056935</v>
      </c>
    </row>
    <row r="16" spans="1:19" x14ac:dyDescent="0.2">
      <c r="A16">
        <v>120000</v>
      </c>
      <c r="B16">
        <v>0</v>
      </c>
      <c r="C16">
        <v>946.79661999999996</v>
      </c>
      <c r="D16">
        <v>0</v>
      </c>
      <c r="E16">
        <v>803.0729</v>
      </c>
      <c r="F16">
        <v>7</v>
      </c>
      <c r="G16">
        <v>299.01143999999999</v>
      </c>
      <c r="H16">
        <v>24</v>
      </c>
      <c r="I16">
        <v>112.12590199999998</v>
      </c>
      <c r="J16">
        <v>74</v>
      </c>
      <c r="K16">
        <v>43.960867999999998</v>
      </c>
      <c r="L16">
        <v>81</v>
      </c>
      <c r="M16">
        <v>19.121956000000001</v>
      </c>
      <c r="N16">
        <v>47</v>
      </c>
      <c r="O16">
        <v>8.8088643999999992</v>
      </c>
      <c r="P16" s="3">
        <f t="shared" si="0"/>
        <v>10000.101022799998</v>
      </c>
      <c r="Q16" s="3">
        <f t="shared" si="1"/>
        <v>43995.4048912</v>
      </c>
      <c r="R16">
        <v>4151241</v>
      </c>
      <c r="S16" s="21">
        <f t="shared" si="2"/>
        <v>1.0598133158542229</v>
      </c>
    </row>
    <row r="17" spans="1:19" x14ac:dyDescent="0.2">
      <c r="A17">
        <v>140000</v>
      </c>
      <c r="B17">
        <v>0</v>
      </c>
      <c r="C17">
        <v>946.79661999999996</v>
      </c>
      <c r="D17">
        <v>8</v>
      </c>
      <c r="E17">
        <v>803.0729</v>
      </c>
      <c r="F17">
        <v>3</v>
      </c>
      <c r="G17">
        <v>299.01143999999999</v>
      </c>
      <c r="H17">
        <v>25</v>
      </c>
      <c r="I17">
        <v>112.12590199999998</v>
      </c>
      <c r="J17">
        <v>42</v>
      </c>
      <c r="K17">
        <v>43.960867999999998</v>
      </c>
      <c r="L17">
        <v>46</v>
      </c>
      <c r="M17">
        <v>19.121956000000001</v>
      </c>
      <c r="N17">
        <v>34</v>
      </c>
      <c r="O17">
        <v>8.8088643999999992</v>
      </c>
      <c r="P17" s="3">
        <f t="shared" si="0"/>
        <v>13150.232891599999</v>
      </c>
      <c r="Q17" s="3">
        <f t="shared" si="1"/>
        <v>33995.303868399998</v>
      </c>
      <c r="R17">
        <v>4151241</v>
      </c>
      <c r="S17" s="24">
        <f t="shared" si="2"/>
        <v>0.81891906223705146</v>
      </c>
    </row>
    <row r="18" spans="1:19" x14ac:dyDescent="0.2">
      <c r="A18">
        <v>160000</v>
      </c>
      <c r="B18">
        <v>0</v>
      </c>
      <c r="C18">
        <v>946.79661999999996</v>
      </c>
      <c r="D18">
        <v>0</v>
      </c>
      <c r="E18">
        <v>803.0729</v>
      </c>
      <c r="F18">
        <v>5</v>
      </c>
      <c r="G18">
        <v>299.01143999999999</v>
      </c>
      <c r="H18">
        <v>16</v>
      </c>
      <c r="I18">
        <v>112.12590199999998</v>
      </c>
      <c r="J18">
        <v>36</v>
      </c>
      <c r="K18">
        <v>43.960867999999998</v>
      </c>
      <c r="L18">
        <v>32</v>
      </c>
      <c r="M18">
        <v>19.121956000000001</v>
      </c>
      <c r="N18">
        <v>34</v>
      </c>
      <c r="O18">
        <v>8.8088643999999992</v>
      </c>
      <c r="P18" s="3">
        <f t="shared" si="0"/>
        <v>5783.0668616000003</v>
      </c>
      <c r="Q18" s="3">
        <f t="shared" si="1"/>
        <v>20845.070976800002</v>
      </c>
      <c r="R18">
        <v>4151241</v>
      </c>
      <c r="S18" s="24">
        <f t="shared" si="2"/>
        <v>0.50214070868928118</v>
      </c>
    </row>
    <row r="19" spans="1:19" x14ac:dyDescent="0.2">
      <c r="A19">
        <v>180000</v>
      </c>
      <c r="B19">
        <v>0</v>
      </c>
      <c r="C19">
        <v>946.79661999999996</v>
      </c>
      <c r="D19">
        <v>0</v>
      </c>
      <c r="E19">
        <v>803.0729</v>
      </c>
      <c r="F19">
        <v>0</v>
      </c>
      <c r="G19">
        <v>299.01143999999999</v>
      </c>
      <c r="H19">
        <v>11</v>
      </c>
      <c r="I19">
        <v>112.12590199999998</v>
      </c>
      <c r="J19">
        <v>31</v>
      </c>
      <c r="K19">
        <v>43.960867999999998</v>
      </c>
      <c r="L19">
        <v>32</v>
      </c>
      <c r="M19">
        <v>19.121956000000001</v>
      </c>
      <c r="N19">
        <v>32</v>
      </c>
      <c r="O19">
        <v>8.8088643999999992</v>
      </c>
      <c r="P19" s="3">
        <f t="shared" si="0"/>
        <v>3489.9580827999998</v>
      </c>
      <c r="Q19" s="3">
        <f t="shared" si="1"/>
        <v>15062.004115199999</v>
      </c>
      <c r="R19">
        <v>4151241</v>
      </c>
      <c r="S19" s="24">
        <f t="shared" si="2"/>
        <v>0.36283135850701026</v>
      </c>
    </row>
    <row r="20" spans="1:19" x14ac:dyDescent="0.2">
      <c r="A20">
        <v>200000</v>
      </c>
      <c r="B20">
        <v>0</v>
      </c>
      <c r="C20">
        <v>946.79661999999996</v>
      </c>
      <c r="D20">
        <v>0</v>
      </c>
      <c r="E20">
        <v>803.0729</v>
      </c>
      <c r="F20">
        <v>8</v>
      </c>
      <c r="G20">
        <v>299.01143999999999</v>
      </c>
      <c r="H20">
        <v>14</v>
      </c>
      <c r="I20">
        <v>112.12590199999998</v>
      </c>
      <c r="J20">
        <v>66</v>
      </c>
      <c r="K20">
        <v>43.960867999999998</v>
      </c>
      <c r="L20">
        <v>85</v>
      </c>
      <c r="M20">
        <v>19.121956000000001</v>
      </c>
      <c r="N20">
        <v>70</v>
      </c>
      <c r="O20">
        <v>8.8088643999999992</v>
      </c>
      <c r="P20" s="3">
        <f t="shared" si="0"/>
        <v>9105.2582039999998</v>
      </c>
      <c r="Q20" s="3">
        <f t="shared" si="1"/>
        <v>11572.0460324</v>
      </c>
      <c r="R20">
        <v>4151241</v>
      </c>
      <c r="S20" s="24">
        <f t="shared" si="2"/>
        <v>0.27876112305693646</v>
      </c>
    </row>
    <row r="21" spans="1:19" x14ac:dyDescent="0.2">
      <c r="A21">
        <v>350000</v>
      </c>
      <c r="B21">
        <v>0</v>
      </c>
      <c r="C21">
        <v>946.79661999999996</v>
      </c>
      <c r="D21">
        <v>0</v>
      </c>
      <c r="E21">
        <v>803.0729</v>
      </c>
      <c r="F21">
        <v>0</v>
      </c>
      <c r="G21">
        <v>299.01143999999999</v>
      </c>
      <c r="H21">
        <v>0</v>
      </c>
      <c r="I21">
        <v>112.12590199999998</v>
      </c>
      <c r="J21">
        <v>10</v>
      </c>
      <c r="K21">
        <v>43.960867999999998</v>
      </c>
      <c r="L21">
        <v>13</v>
      </c>
      <c r="M21">
        <v>19.121956000000001</v>
      </c>
      <c r="N21">
        <v>14</v>
      </c>
      <c r="O21">
        <v>8.8088643999999992</v>
      </c>
      <c r="P21" s="3">
        <f t="shared" si="0"/>
        <v>811.51820959999998</v>
      </c>
      <c r="Q21" s="3">
        <f t="shared" si="1"/>
        <v>2466.7878283999999</v>
      </c>
      <c r="R21">
        <v>4151241</v>
      </c>
      <c r="S21" s="24">
        <f t="shared" si="2"/>
        <v>5.9422900968650091E-2</v>
      </c>
    </row>
    <row r="22" spans="1:19" x14ac:dyDescent="0.2">
      <c r="A22">
        <v>500000</v>
      </c>
      <c r="B22">
        <v>0</v>
      </c>
      <c r="C22">
        <v>946.79661999999996</v>
      </c>
      <c r="D22">
        <v>0</v>
      </c>
      <c r="E22">
        <v>803.0729</v>
      </c>
      <c r="F22">
        <v>0</v>
      </c>
      <c r="G22">
        <v>299.01143999999999</v>
      </c>
      <c r="H22">
        <v>7</v>
      </c>
      <c r="I22">
        <v>112.12590199999998</v>
      </c>
      <c r="J22">
        <v>0</v>
      </c>
      <c r="K22">
        <v>43.960867999999998</v>
      </c>
      <c r="L22">
        <v>12</v>
      </c>
      <c r="M22">
        <v>19.121956000000001</v>
      </c>
      <c r="N22">
        <v>0</v>
      </c>
      <c r="O22">
        <v>8.8088643999999992</v>
      </c>
      <c r="P22" s="3">
        <f t="shared" si="0"/>
        <v>1014.3447859999999</v>
      </c>
      <c r="Q22" s="3">
        <f t="shared" si="1"/>
        <v>1655.2696188</v>
      </c>
      <c r="R22">
        <v>4151241</v>
      </c>
      <c r="S22" s="24">
        <f t="shared" si="2"/>
        <v>3.9874091116367374E-2</v>
      </c>
    </row>
    <row r="23" spans="1:19" x14ac:dyDescent="0.2">
      <c r="A23" t="s">
        <v>12</v>
      </c>
      <c r="B23">
        <v>0</v>
      </c>
      <c r="C23">
        <v>946.79661999999996</v>
      </c>
      <c r="D23">
        <v>0</v>
      </c>
      <c r="E23">
        <v>803.0729</v>
      </c>
      <c r="F23">
        <v>0</v>
      </c>
      <c r="G23">
        <v>299.01143999999999</v>
      </c>
      <c r="H23">
        <v>0</v>
      </c>
      <c r="I23">
        <v>112.12590199999998</v>
      </c>
      <c r="J23">
        <v>10</v>
      </c>
      <c r="K23">
        <v>43.960867999999998</v>
      </c>
      <c r="L23">
        <v>5</v>
      </c>
      <c r="M23">
        <v>19.121956000000001</v>
      </c>
      <c r="N23">
        <v>12</v>
      </c>
      <c r="O23">
        <v>8.8088643999999992</v>
      </c>
      <c r="P23" s="3">
        <f t="shared" si="0"/>
        <v>640.9248328000001</v>
      </c>
      <c r="Q23" s="3">
        <f>P23</f>
        <v>640.9248328000001</v>
      </c>
      <c r="R23">
        <v>4151241</v>
      </c>
      <c r="S23" s="24">
        <f t="shared" si="2"/>
        <v>1.5439354949519916E-2</v>
      </c>
    </row>
    <row r="24" spans="1:19" x14ac:dyDescent="0.2">
      <c r="A24" t="s">
        <v>3</v>
      </c>
      <c r="B24">
        <f t="shared" ref="B24:N24" si="3">SUM(B6:B23)</f>
        <v>227</v>
      </c>
      <c r="C24">
        <v>946.79661999999996</v>
      </c>
      <c r="D24">
        <f t="shared" si="3"/>
        <v>192</v>
      </c>
      <c r="E24">
        <v>803.0729</v>
      </c>
      <c r="F24">
        <f t="shared" si="3"/>
        <v>510</v>
      </c>
      <c r="G24">
        <v>299.01143999999999</v>
      </c>
      <c r="H24">
        <f t="shared" si="3"/>
        <v>1367</v>
      </c>
      <c r="I24">
        <v>112.12590199999998</v>
      </c>
      <c r="J24">
        <f t="shared" si="3"/>
        <v>2841</v>
      </c>
      <c r="K24">
        <v>43.960867999999998</v>
      </c>
      <c r="L24">
        <f t="shared" si="3"/>
        <v>2917</v>
      </c>
      <c r="M24">
        <v>19.121956000000001</v>
      </c>
      <c r="N24">
        <f t="shared" si="3"/>
        <v>2124</v>
      </c>
      <c r="O24">
        <v>8.8088643999999992</v>
      </c>
      <c r="P24" s="3">
        <f t="shared" si="0"/>
        <v>874266.37159959995</v>
      </c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75</v>
      </c>
      <c r="B32" s="14">
        <v>5.0000000000000001E-4</v>
      </c>
      <c r="C32" s="4">
        <f>S22/100</f>
        <v>3.9874091116367372E-4</v>
      </c>
      <c r="D32">
        <f>S21/100</f>
        <v>5.9422900968650089E-4</v>
      </c>
      <c r="E32">
        <v>500000</v>
      </c>
      <c r="F32">
        <v>350000</v>
      </c>
      <c r="G32">
        <f t="shared" ref="G32:G37" si="4">D32/C32</f>
        <v>1.4902634594286313</v>
      </c>
      <c r="H32">
        <f t="shared" ref="H32:H37" si="5">LN(G32)</f>
        <v>0.3989529227353128</v>
      </c>
      <c r="I32">
        <f t="shared" ref="I32:I37" si="6">E32/F32</f>
        <v>1.4285714285714286</v>
      </c>
      <c r="J32">
        <f t="shared" ref="J32:J37" si="7">LN(I32)</f>
        <v>0.35667494393873239</v>
      </c>
      <c r="K32" s="4">
        <f t="shared" ref="K32:K37" si="8">H32/J32</f>
        <v>1.1185336383030109</v>
      </c>
      <c r="L32" s="4">
        <f t="shared" ref="L32:L37" si="9">F32*POWER(D32,1/K32)</f>
        <v>456.97620446321667</v>
      </c>
      <c r="M32" s="20">
        <f t="shared" ref="M32:M37" si="10">POWER(B32,1/K32)</f>
        <v>1.1188913353087165E-3</v>
      </c>
      <c r="N32" s="8">
        <f t="shared" ref="N32:N37" si="11">L32/M32</f>
        <v>408418.75349506672</v>
      </c>
      <c r="O32" s="5">
        <v>4151241</v>
      </c>
      <c r="P32" s="8">
        <f>O32*(K32/(1-K32))*POWER(L32,K32)*(-1)*POWER(N32,1-K32)</f>
        <v>7999467187.7900543</v>
      </c>
      <c r="Q32" s="9">
        <f t="shared" ref="Q32:Q37" si="12">B32*O32</f>
        <v>2075.6205</v>
      </c>
      <c r="R32" s="8">
        <f t="shared" ref="R32:R37" si="13">P32/Q32</f>
        <v>3854012.4207628774</v>
      </c>
      <c r="S32" s="4">
        <f t="shared" ref="S32:S37" si="14">P32*7.023*1.23</f>
        <v>69101717413.614944</v>
      </c>
    </row>
    <row r="33" spans="1:19" x14ac:dyDescent="0.2">
      <c r="A33" t="s">
        <v>76</v>
      </c>
      <c r="B33" s="14">
        <v>1E-3</v>
      </c>
      <c r="C33" s="4">
        <f>S21/100</f>
        <v>5.9422900968650089E-4</v>
      </c>
      <c r="D33">
        <f>S20/100</f>
        <v>2.7876112305693646E-3</v>
      </c>
      <c r="E33">
        <v>350000</v>
      </c>
      <c r="F33">
        <v>200000</v>
      </c>
      <c r="G33">
        <f t="shared" si="4"/>
        <v>4.6911395861336906</v>
      </c>
      <c r="H33">
        <f t="shared" si="5"/>
        <v>1.545675535060872</v>
      </c>
      <c r="I33">
        <f t="shared" si="6"/>
        <v>1.75</v>
      </c>
      <c r="J33">
        <f t="shared" si="7"/>
        <v>0.55961578793542266</v>
      </c>
      <c r="K33" s="4">
        <f t="shared" si="8"/>
        <v>2.762029893336813</v>
      </c>
      <c r="L33" s="4">
        <f t="shared" si="9"/>
        <v>23772.221578341607</v>
      </c>
      <c r="M33" s="20">
        <f t="shared" si="10"/>
        <v>8.2005373906728338E-2</v>
      </c>
      <c r="N33" s="8">
        <f t="shared" si="11"/>
        <v>289886.1433810395</v>
      </c>
      <c r="O33" s="5">
        <v>4151241</v>
      </c>
      <c r="P33" s="8">
        <f>O33*(K33/(1-K33))*POWER(L33,K33)*(POWER(N32,1-K33)-POWER(N33,1-K33))+P32</f>
        <v>8854728855.4969597</v>
      </c>
      <c r="Q33" s="9">
        <f t="shared" si="12"/>
        <v>4151.241</v>
      </c>
      <c r="R33" s="8">
        <f t="shared" si="13"/>
        <v>2133031.7501433813</v>
      </c>
      <c r="S33" s="4">
        <f t="shared" si="14"/>
        <v>76489715725.150833</v>
      </c>
    </row>
    <row r="34" spans="1:19" x14ac:dyDescent="0.2">
      <c r="A34" t="s">
        <v>76</v>
      </c>
      <c r="B34" s="14">
        <v>2.5000000000000001E-3</v>
      </c>
      <c r="C34">
        <f>S21/100</f>
        <v>5.9422900968650089E-4</v>
      </c>
      <c r="D34">
        <f>S20/100</f>
        <v>2.7876112305693646E-3</v>
      </c>
      <c r="E34">
        <v>350000</v>
      </c>
      <c r="F34">
        <v>200000</v>
      </c>
      <c r="G34">
        <f t="shared" si="4"/>
        <v>4.6911395861336906</v>
      </c>
      <c r="H34">
        <f t="shared" si="5"/>
        <v>1.545675535060872</v>
      </c>
      <c r="I34">
        <f t="shared" si="6"/>
        <v>1.75</v>
      </c>
      <c r="J34">
        <f t="shared" si="7"/>
        <v>0.55961578793542266</v>
      </c>
      <c r="K34" s="4">
        <f t="shared" si="8"/>
        <v>2.762029893336813</v>
      </c>
      <c r="L34" s="4">
        <f t="shared" si="9"/>
        <v>23772.221578341607</v>
      </c>
      <c r="M34" s="20">
        <f t="shared" si="10"/>
        <v>0.11426612844742697</v>
      </c>
      <c r="N34" s="8">
        <f t="shared" si="11"/>
        <v>208042.59233547968</v>
      </c>
      <c r="O34" s="5">
        <v>4151241</v>
      </c>
      <c r="P34" s="8">
        <f>O34*(K34/(1-K34))*POWER(L34,K34)*(POWER(N33,1-K34)-POWER(N34,1-K34))+P33</f>
        <v>10352814822.134642</v>
      </c>
      <c r="Q34" s="9">
        <f t="shared" si="12"/>
        <v>10378.102500000001</v>
      </c>
      <c r="R34" s="8">
        <f t="shared" si="13"/>
        <v>997563.36210156349</v>
      </c>
      <c r="S34" s="4">
        <f t="shared" si="14"/>
        <v>89430616749.897446</v>
      </c>
    </row>
    <row r="35" spans="1:19" x14ac:dyDescent="0.2">
      <c r="A35" t="s">
        <v>77</v>
      </c>
      <c r="B35" s="14">
        <v>5.0000000000000001E-3</v>
      </c>
      <c r="C35">
        <f>S19/100</f>
        <v>3.6283135850701028E-3</v>
      </c>
      <c r="D35">
        <f>S18/100</f>
        <v>5.0214070868928118E-3</v>
      </c>
      <c r="E35">
        <v>180000</v>
      </c>
      <c r="F35">
        <v>160000</v>
      </c>
      <c r="G35">
        <f t="shared" si="4"/>
        <v>1.3839506892554858</v>
      </c>
      <c r="H35">
        <f t="shared" si="5"/>
        <v>0.32494222741008399</v>
      </c>
      <c r="I35">
        <f t="shared" si="6"/>
        <v>1.125</v>
      </c>
      <c r="J35">
        <f t="shared" si="7"/>
        <v>0.11778303565638346</v>
      </c>
      <c r="K35" s="4">
        <f t="shared" si="8"/>
        <v>2.758820280010954</v>
      </c>
      <c r="L35" s="4">
        <f t="shared" si="9"/>
        <v>23481.698013911537</v>
      </c>
      <c r="M35" s="20">
        <f t="shared" si="10"/>
        <v>0.14653351663047987</v>
      </c>
      <c r="N35" s="8">
        <f t="shared" si="11"/>
        <v>160247.96615730165</v>
      </c>
      <c r="O35" s="5">
        <v>4151241</v>
      </c>
      <c r="P35" s="8">
        <f>O35*(K35/(1-K35))*POWER(L35,K35)*(POWER(N34,1-K35)-POWER(N35,1-K35))+P34</f>
        <v>12273498608.674423</v>
      </c>
      <c r="Q35" s="9">
        <f t="shared" si="12"/>
        <v>20756.205000000002</v>
      </c>
      <c r="R35" s="8">
        <f t="shared" si="13"/>
        <v>591317.08367085515</v>
      </c>
      <c r="S35" s="4">
        <f t="shared" si="14"/>
        <v>106022040296.32619</v>
      </c>
    </row>
    <row r="36" spans="1:19" x14ac:dyDescent="0.2">
      <c r="A36" t="s">
        <v>73</v>
      </c>
      <c r="B36" s="14">
        <v>0.01</v>
      </c>
      <c r="C36">
        <f>S17/100</f>
        <v>8.1891906223705152E-3</v>
      </c>
      <c r="D36">
        <f>S16/100</f>
        <v>1.0598133158542229E-2</v>
      </c>
      <c r="E36">
        <v>140000</v>
      </c>
      <c r="F36">
        <v>120000</v>
      </c>
      <c r="G36">
        <f t="shared" si="4"/>
        <v>1.2941612483156975</v>
      </c>
      <c r="H36">
        <f t="shared" si="5"/>
        <v>0.25786280061485278</v>
      </c>
      <c r="I36">
        <f t="shared" si="6"/>
        <v>1.1666666666666667</v>
      </c>
      <c r="J36">
        <f t="shared" si="7"/>
        <v>0.15415067982725836</v>
      </c>
      <c r="K36" s="4">
        <f t="shared" si="8"/>
        <v>1.6727970379619117</v>
      </c>
      <c r="L36" s="4">
        <f t="shared" si="9"/>
        <v>7918.8311958176782</v>
      </c>
      <c r="M36" s="20">
        <f t="shared" si="10"/>
        <v>6.3737891364033614E-2</v>
      </c>
      <c r="N36" s="8">
        <f t="shared" si="11"/>
        <v>124240.55810993086</v>
      </c>
      <c r="O36" s="5">
        <v>4151241</v>
      </c>
      <c r="P36" s="8">
        <f>O36*(K36/(1-K36))*POWER(L36,K36)*(POWER(N35,1-K36)-POWER(N36,1-K36))+P35</f>
        <v>14291519349.885098</v>
      </c>
      <c r="Q36" s="9">
        <f t="shared" si="12"/>
        <v>41512.410000000003</v>
      </c>
      <c r="R36" s="8">
        <f t="shared" si="13"/>
        <v>344271.01076244662</v>
      </c>
      <c r="S36" s="4">
        <f t="shared" si="14"/>
        <v>123454288684.91895</v>
      </c>
    </row>
    <row r="37" spans="1:19" x14ac:dyDescent="0.2">
      <c r="A37" t="s">
        <v>79</v>
      </c>
      <c r="B37" s="14">
        <v>0.02</v>
      </c>
      <c r="C37">
        <f>S14/100</f>
        <v>1.9295535224093226E-2</v>
      </c>
      <c r="D37">
        <f>S13/100</f>
        <v>2.50109462847375E-2</v>
      </c>
      <c r="E37">
        <v>70000</v>
      </c>
      <c r="F37">
        <v>60000</v>
      </c>
      <c r="G37">
        <f t="shared" si="4"/>
        <v>1.2962038105845215</v>
      </c>
      <c r="H37">
        <f t="shared" si="5"/>
        <v>0.25943984681931709</v>
      </c>
      <c r="I37">
        <f t="shared" si="6"/>
        <v>1.1666666666666667</v>
      </c>
      <c r="J37">
        <f t="shared" si="7"/>
        <v>0.15415067982725836</v>
      </c>
      <c r="K37" s="4">
        <f t="shared" si="8"/>
        <v>1.68302758774756</v>
      </c>
      <c r="L37" s="4">
        <f t="shared" si="9"/>
        <v>6704.5944094647675</v>
      </c>
      <c r="M37" s="20">
        <f t="shared" si="10"/>
        <v>9.7842499106478145E-2</v>
      </c>
      <c r="N37" s="8">
        <f t="shared" si="11"/>
        <v>68524.357724841233</v>
      </c>
      <c r="O37" s="5">
        <f>R17</f>
        <v>4151241</v>
      </c>
      <c r="P37" s="8">
        <f>O37*(K37/(1-K37))*POWER(L37,K37)*(POWER(N36,1-K37)-POWER(N37,1-K37))+P36</f>
        <v>18973339878.995255</v>
      </c>
      <c r="Q37" s="9">
        <f t="shared" si="12"/>
        <v>83024.820000000007</v>
      </c>
      <c r="R37" s="8">
        <f t="shared" si="13"/>
        <v>228526.11880393419</v>
      </c>
      <c r="S37" s="4">
        <f t="shared" si="14"/>
        <v>163897212143.3259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14</v>
      </c>
      <c r="B50">
        <v>6</v>
      </c>
      <c r="C50">
        <v>2480.1447999999996</v>
      </c>
      <c r="D50">
        <v>9</v>
      </c>
      <c r="E50">
        <v>1350.21922</v>
      </c>
      <c r="F50">
        <v>22</v>
      </c>
      <c r="G50">
        <v>505.56323999999995</v>
      </c>
      <c r="H50">
        <v>91</v>
      </c>
      <c r="I50">
        <v>212.25708</v>
      </c>
      <c r="J50">
        <v>180</v>
      </c>
      <c r="K50">
        <v>90.288352000000003</v>
      </c>
      <c r="L50">
        <v>402</v>
      </c>
      <c r="M50">
        <v>32.292189999999998</v>
      </c>
      <c r="N50">
        <v>447</v>
      </c>
      <c r="O50">
        <v>10.896445</v>
      </c>
      <c r="P50" s="3">
        <f>(B50*C50)+(D50*E50)+(F50*G50)+(H50*I50)+(J50*K50)+(L50*M50)+(N50*O50)</f>
        <v>91574.70199500001</v>
      </c>
      <c r="Q50" s="3"/>
    </row>
    <row r="51" spans="1:19" x14ac:dyDescent="0.2">
      <c r="A51">
        <v>20000</v>
      </c>
      <c r="B51">
        <v>5</v>
      </c>
      <c r="C51">
        <v>2480.1447999999996</v>
      </c>
      <c r="D51">
        <v>10</v>
      </c>
      <c r="E51">
        <v>1350.21922</v>
      </c>
      <c r="F51">
        <v>38</v>
      </c>
      <c r="G51">
        <v>505.56323999999995</v>
      </c>
      <c r="H51">
        <v>146</v>
      </c>
      <c r="I51">
        <v>212.25708</v>
      </c>
      <c r="J51">
        <v>328</v>
      </c>
      <c r="K51">
        <v>90.288352000000003</v>
      </c>
      <c r="L51">
        <v>603</v>
      </c>
      <c r="M51">
        <v>32.292189999999998</v>
      </c>
      <c r="N51">
        <v>624</v>
      </c>
      <c r="O51">
        <v>10.896445</v>
      </c>
      <c r="P51" s="3">
        <f t="shared" ref="P51:P68" si="15">(B51*C51)+(D51*E51)+(F51*G51)+(H51*I51)+(J51*K51)+(L51*M51)+(N51*O51)</f>
        <v>131990.00470600001</v>
      </c>
      <c r="Q51" s="3"/>
    </row>
    <row r="52" spans="1:19" x14ac:dyDescent="0.2">
      <c r="A52">
        <v>30000</v>
      </c>
      <c r="B52">
        <v>1</v>
      </c>
      <c r="C52">
        <v>2480.1447999999996</v>
      </c>
      <c r="D52">
        <v>4</v>
      </c>
      <c r="E52">
        <v>1350.21922</v>
      </c>
      <c r="F52">
        <v>28</v>
      </c>
      <c r="G52">
        <v>505.56323999999995</v>
      </c>
      <c r="H52">
        <v>73</v>
      </c>
      <c r="I52">
        <v>212.25708</v>
      </c>
      <c r="J52">
        <v>154</v>
      </c>
      <c r="K52">
        <v>90.288352000000003</v>
      </c>
      <c r="L52">
        <v>285</v>
      </c>
      <c r="M52">
        <v>32.292189999999998</v>
      </c>
      <c r="N52">
        <v>356</v>
      </c>
      <c r="O52">
        <v>10.896445</v>
      </c>
      <c r="P52" s="3">
        <f t="shared" si="15"/>
        <v>64518.374018000002</v>
      </c>
      <c r="Q52" s="3">
        <f>Q53+P52</f>
        <v>219238.31496700001</v>
      </c>
      <c r="R52">
        <v>4195900</v>
      </c>
      <c r="S52">
        <f>Q52/R52*100</f>
        <v>5.2250605344979624</v>
      </c>
    </row>
    <row r="53" spans="1:19" x14ac:dyDescent="0.2">
      <c r="A53">
        <v>40000</v>
      </c>
      <c r="B53">
        <v>0</v>
      </c>
      <c r="C53">
        <v>2480.1447999999996</v>
      </c>
      <c r="D53">
        <v>6</v>
      </c>
      <c r="E53">
        <v>1350.21922</v>
      </c>
      <c r="F53">
        <v>10</v>
      </c>
      <c r="G53">
        <v>505.56323999999995</v>
      </c>
      <c r="H53">
        <v>40</v>
      </c>
      <c r="I53">
        <v>212.25708</v>
      </c>
      <c r="J53">
        <v>111</v>
      </c>
      <c r="K53">
        <v>90.288352000000003</v>
      </c>
      <c r="L53">
        <v>180</v>
      </c>
      <c r="M53">
        <v>32.292189999999998</v>
      </c>
      <c r="N53">
        <v>222</v>
      </c>
      <c r="O53">
        <v>10.896445</v>
      </c>
      <c r="P53" s="3">
        <f t="shared" si="15"/>
        <v>39900.842982000002</v>
      </c>
      <c r="Q53" s="3">
        <f t="shared" ref="Q53:Q62" si="16">Q54+P53</f>
        <v>154719.94094900001</v>
      </c>
      <c r="R53">
        <v>4195900</v>
      </c>
      <c r="S53">
        <f>Q53/R53*100</f>
        <v>3.6874077301413291</v>
      </c>
    </row>
    <row r="54" spans="1:19" x14ac:dyDescent="0.2">
      <c r="A54">
        <v>50000</v>
      </c>
      <c r="B54">
        <v>1</v>
      </c>
      <c r="C54">
        <v>2480.1447999999996</v>
      </c>
      <c r="D54">
        <v>3</v>
      </c>
      <c r="E54">
        <v>1350.21922</v>
      </c>
      <c r="F54">
        <v>13</v>
      </c>
      <c r="G54">
        <v>505.56323999999995</v>
      </c>
      <c r="H54">
        <v>36</v>
      </c>
      <c r="I54">
        <v>212.25708</v>
      </c>
      <c r="J54">
        <v>74</v>
      </c>
      <c r="K54">
        <v>90.288352000000003</v>
      </c>
      <c r="L54">
        <v>133</v>
      </c>
      <c r="M54">
        <v>32.292189999999998</v>
      </c>
      <c r="N54">
        <v>162</v>
      </c>
      <c r="O54">
        <v>10.896445</v>
      </c>
      <c r="P54" s="3">
        <f t="shared" si="15"/>
        <v>33485.802867999999</v>
      </c>
      <c r="Q54" s="3">
        <f t="shared" si="16"/>
        <v>114819.09796700001</v>
      </c>
      <c r="R54">
        <v>4195900</v>
      </c>
      <c r="S54">
        <f>Q54/R54*100</f>
        <v>2.7364593523916203</v>
      </c>
    </row>
    <row r="55" spans="1:19" x14ac:dyDescent="0.2">
      <c r="A55">
        <v>60000</v>
      </c>
      <c r="B55">
        <v>0</v>
      </c>
      <c r="C55">
        <v>2480.1447999999996</v>
      </c>
      <c r="D55">
        <v>2</v>
      </c>
      <c r="E55">
        <v>1350.21922</v>
      </c>
      <c r="F55">
        <v>6</v>
      </c>
      <c r="G55">
        <v>505.56323999999995</v>
      </c>
      <c r="H55">
        <v>22</v>
      </c>
      <c r="I55">
        <v>212.25708</v>
      </c>
      <c r="J55">
        <v>45</v>
      </c>
      <c r="K55">
        <v>90.288352000000003</v>
      </c>
      <c r="L55">
        <v>96</v>
      </c>
      <c r="M55">
        <v>32.292189999999998</v>
      </c>
      <c r="N55">
        <v>113</v>
      </c>
      <c r="O55">
        <v>10.896445</v>
      </c>
      <c r="P55" s="3">
        <f t="shared" si="15"/>
        <v>18797.798005000001</v>
      </c>
      <c r="Q55" s="3">
        <f t="shared" si="16"/>
        <v>81333.29509900001</v>
      </c>
      <c r="R55">
        <v>4195900</v>
      </c>
      <c r="S55">
        <f>Q55/R55*100</f>
        <v>1.9383992730760982</v>
      </c>
    </row>
    <row r="56" spans="1:19" x14ac:dyDescent="0.2">
      <c r="A56">
        <v>70000</v>
      </c>
      <c r="B56">
        <v>0</v>
      </c>
      <c r="C56">
        <v>2480.1447999999996</v>
      </c>
      <c r="D56">
        <v>1</v>
      </c>
      <c r="E56">
        <v>1350.21922</v>
      </c>
      <c r="F56">
        <v>8</v>
      </c>
      <c r="G56">
        <v>505.56323999999995</v>
      </c>
      <c r="H56">
        <v>12</v>
      </c>
      <c r="I56">
        <v>212.25708</v>
      </c>
      <c r="J56">
        <v>40</v>
      </c>
      <c r="K56">
        <v>90.288352000000003</v>
      </c>
      <c r="L56">
        <v>67</v>
      </c>
      <c r="M56">
        <v>32.292189999999998</v>
      </c>
      <c r="N56">
        <v>94</v>
      </c>
      <c r="O56">
        <v>10.896445</v>
      </c>
      <c r="P56" s="3">
        <f t="shared" si="15"/>
        <v>14741.186740000001</v>
      </c>
      <c r="Q56" s="3">
        <f t="shared" si="16"/>
        <v>62535.497094000006</v>
      </c>
      <c r="R56">
        <v>4195900</v>
      </c>
      <c r="S56">
        <f>Q56/R56*100</f>
        <v>1.4903953167139352</v>
      </c>
    </row>
    <row r="57" spans="1:19" x14ac:dyDescent="0.2">
      <c r="A57">
        <v>80000</v>
      </c>
      <c r="B57">
        <v>0</v>
      </c>
      <c r="C57">
        <v>2480.1447999999996</v>
      </c>
      <c r="D57">
        <v>2</v>
      </c>
      <c r="E57">
        <v>1350.21922</v>
      </c>
      <c r="F57">
        <v>2</v>
      </c>
      <c r="G57">
        <v>505.56323999999995</v>
      </c>
      <c r="H57">
        <v>12</v>
      </c>
      <c r="I57">
        <v>212.25708</v>
      </c>
      <c r="J57">
        <v>30</v>
      </c>
      <c r="K57">
        <v>90.288352000000003</v>
      </c>
      <c r="L57">
        <v>50</v>
      </c>
      <c r="M57">
        <v>32.292189999999998</v>
      </c>
      <c r="N57">
        <v>64</v>
      </c>
      <c r="O57">
        <v>10.896445</v>
      </c>
      <c r="P57" s="3">
        <f t="shared" si="15"/>
        <v>11279.28242</v>
      </c>
      <c r="Q57" s="3">
        <f t="shared" si="16"/>
        <v>47794.310354000001</v>
      </c>
      <c r="R57">
        <v>4195900</v>
      </c>
      <c r="S57">
        <f t="shared" ref="S57:S63" si="17">Q57/R57*100</f>
        <v>1.1390717212993637</v>
      </c>
    </row>
    <row r="58" spans="1:19" x14ac:dyDescent="0.2">
      <c r="A58">
        <v>90000</v>
      </c>
      <c r="B58">
        <v>0</v>
      </c>
      <c r="C58">
        <v>2480.1447999999996</v>
      </c>
      <c r="D58">
        <v>0</v>
      </c>
      <c r="E58">
        <v>1350.21922</v>
      </c>
      <c r="F58">
        <v>2</v>
      </c>
      <c r="G58">
        <v>505.56323999999995</v>
      </c>
      <c r="H58">
        <v>11</v>
      </c>
      <c r="I58">
        <v>212.25708</v>
      </c>
      <c r="J58">
        <v>18</v>
      </c>
      <c r="K58">
        <v>90.288352000000003</v>
      </c>
      <c r="L58">
        <v>42</v>
      </c>
      <c r="M58">
        <v>32.292189999999998</v>
      </c>
      <c r="N58">
        <v>38</v>
      </c>
      <c r="O58">
        <v>10.896445</v>
      </c>
      <c r="P58" s="3">
        <f t="shared" si="15"/>
        <v>6741.481585999999</v>
      </c>
      <c r="Q58" s="3">
        <f t="shared" si="16"/>
        <v>36515.027933999998</v>
      </c>
      <c r="R58">
        <v>4195900</v>
      </c>
      <c r="S58">
        <f t="shared" si="17"/>
        <v>0.87025496160537652</v>
      </c>
    </row>
    <row r="59" spans="1:19" x14ac:dyDescent="0.2">
      <c r="A59">
        <v>100000</v>
      </c>
      <c r="B59">
        <v>1</v>
      </c>
      <c r="C59">
        <v>2480.1447999999996</v>
      </c>
      <c r="D59">
        <v>0</v>
      </c>
      <c r="E59">
        <v>1350.21922</v>
      </c>
      <c r="F59">
        <v>4</v>
      </c>
      <c r="G59">
        <v>505.56323999999995</v>
      </c>
      <c r="H59">
        <v>8</v>
      </c>
      <c r="I59">
        <v>212.25708</v>
      </c>
      <c r="J59">
        <v>23</v>
      </c>
      <c r="K59">
        <v>90.288352000000003</v>
      </c>
      <c r="L59">
        <v>49</v>
      </c>
      <c r="M59">
        <v>32.292189999999998</v>
      </c>
      <c r="N59">
        <v>68</v>
      </c>
      <c r="O59">
        <v>10.896445</v>
      </c>
      <c r="P59" s="3">
        <f t="shared" si="15"/>
        <v>10600.362066</v>
      </c>
      <c r="Q59" s="3">
        <f t="shared" si="16"/>
        <v>29773.546347999996</v>
      </c>
      <c r="R59">
        <v>4195900</v>
      </c>
      <c r="S59">
        <f t="shared" si="17"/>
        <v>0.70958665239877017</v>
      </c>
    </row>
    <row r="60" spans="1:19" x14ac:dyDescent="0.2">
      <c r="A60">
        <v>120000</v>
      </c>
      <c r="B60">
        <v>0</v>
      </c>
      <c r="C60">
        <v>2480.1447999999996</v>
      </c>
      <c r="D60">
        <v>0</v>
      </c>
      <c r="E60">
        <v>1350.21922</v>
      </c>
      <c r="F60">
        <v>1</v>
      </c>
      <c r="G60">
        <v>505.56323999999995</v>
      </c>
      <c r="H60">
        <v>9</v>
      </c>
      <c r="I60">
        <v>212.25708</v>
      </c>
      <c r="J60">
        <v>16</v>
      </c>
      <c r="K60">
        <v>90.288352000000003</v>
      </c>
      <c r="L60">
        <v>32</v>
      </c>
      <c r="M60">
        <v>32.292189999999998</v>
      </c>
      <c r="N60">
        <v>45</v>
      </c>
      <c r="O60">
        <v>10.896445</v>
      </c>
      <c r="P60" s="3">
        <f t="shared" si="15"/>
        <v>5384.1806969999998</v>
      </c>
      <c r="Q60" s="3">
        <f t="shared" si="16"/>
        <v>19173.184281999998</v>
      </c>
      <c r="R60">
        <v>4195900</v>
      </c>
      <c r="S60">
        <f t="shared" si="17"/>
        <v>0.45695045835220088</v>
      </c>
    </row>
    <row r="61" spans="1:19" x14ac:dyDescent="0.2">
      <c r="A61">
        <v>140000</v>
      </c>
      <c r="B61">
        <v>0</v>
      </c>
      <c r="C61">
        <v>2480.1447999999996</v>
      </c>
      <c r="D61">
        <v>1</v>
      </c>
      <c r="E61">
        <v>1350.21922</v>
      </c>
      <c r="F61">
        <v>1</v>
      </c>
      <c r="G61">
        <v>505.56323999999995</v>
      </c>
      <c r="H61">
        <v>4</v>
      </c>
      <c r="I61">
        <v>212.25708</v>
      </c>
      <c r="J61">
        <v>12</v>
      </c>
      <c r="K61">
        <v>90.288352000000003</v>
      </c>
      <c r="L61">
        <v>18</v>
      </c>
      <c r="M61">
        <v>32.292189999999998</v>
      </c>
      <c r="N61">
        <v>17</v>
      </c>
      <c r="O61">
        <v>10.896445</v>
      </c>
      <c r="P61" s="3">
        <f t="shared" si="15"/>
        <v>4554.7699889999994</v>
      </c>
      <c r="Q61" s="3">
        <f t="shared" si="16"/>
        <v>13789.003584999999</v>
      </c>
      <c r="R61">
        <v>4195900</v>
      </c>
      <c r="S61">
        <f t="shared" si="17"/>
        <v>0.32863041504802304</v>
      </c>
    </row>
    <row r="62" spans="1:19" x14ac:dyDescent="0.2">
      <c r="A62">
        <v>160000</v>
      </c>
      <c r="B62">
        <v>0</v>
      </c>
      <c r="C62">
        <v>2480.1447999999996</v>
      </c>
      <c r="D62">
        <v>0</v>
      </c>
      <c r="E62">
        <v>1350.21922</v>
      </c>
      <c r="F62">
        <v>1</v>
      </c>
      <c r="G62">
        <v>505.56323999999995</v>
      </c>
      <c r="H62">
        <v>3</v>
      </c>
      <c r="I62">
        <v>212.25708</v>
      </c>
      <c r="J62">
        <v>11</v>
      </c>
      <c r="K62">
        <v>90.288352000000003</v>
      </c>
      <c r="L62">
        <v>14</v>
      </c>
      <c r="M62">
        <v>32.292189999999998</v>
      </c>
      <c r="N62">
        <v>21</v>
      </c>
      <c r="O62">
        <v>10.896445</v>
      </c>
      <c r="P62" s="3">
        <f t="shared" si="15"/>
        <v>2816.4223569999999</v>
      </c>
      <c r="Q62" s="3">
        <f t="shared" si="16"/>
        <v>9234.233596</v>
      </c>
      <c r="R62">
        <v>4195900</v>
      </c>
      <c r="S62">
        <f t="shared" si="17"/>
        <v>0.22007754226745155</v>
      </c>
    </row>
    <row r="63" spans="1:19" x14ac:dyDescent="0.2">
      <c r="A63">
        <v>180000</v>
      </c>
      <c r="B63">
        <v>0</v>
      </c>
      <c r="C63">
        <v>2480.1447999999996</v>
      </c>
      <c r="D63">
        <v>0</v>
      </c>
      <c r="E63">
        <v>1350.21922</v>
      </c>
      <c r="F63">
        <v>0</v>
      </c>
      <c r="G63">
        <v>505.56323999999995</v>
      </c>
      <c r="H63">
        <v>4</v>
      </c>
      <c r="I63">
        <v>212.25708</v>
      </c>
      <c r="J63">
        <v>6</v>
      </c>
      <c r="K63">
        <v>90.288352000000003</v>
      </c>
      <c r="L63">
        <v>7</v>
      </c>
      <c r="M63">
        <v>32.292189999999998</v>
      </c>
      <c r="N63">
        <v>18</v>
      </c>
      <c r="O63">
        <v>10.896445</v>
      </c>
      <c r="P63" s="3">
        <f t="shared" si="15"/>
        <v>1812.9397719999999</v>
      </c>
      <c r="Q63" s="3">
        <f>P64+P63</f>
        <v>6417.8112389999997</v>
      </c>
      <c r="R63">
        <v>4195900</v>
      </c>
      <c r="S63">
        <f t="shared" si="17"/>
        <v>0.15295434207202269</v>
      </c>
    </row>
    <row r="64" spans="1:19" x14ac:dyDescent="0.2">
      <c r="A64">
        <v>200000</v>
      </c>
      <c r="B64">
        <v>0</v>
      </c>
      <c r="C64">
        <v>2480.1447999999996</v>
      </c>
      <c r="D64">
        <v>0</v>
      </c>
      <c r="E64">
        <v>1350.21922</v>
      </c>
      <c r="F64">
        <v>1</v>
      </c>
      <c r="G64">
        <v>505.56323999999995</v>
      </c>
      <c r="H64">
        <v>3</v>
      </c>
      <c r="I64">
        <v>212.25708</v>
      </c>
      <c r="J64">
        <v>21</v>
      </c>
      <c r="K64">
        <v>90.288352000000003</v>
      </c>
      <c r="L64">
        <v>34</v>
      </c>
      <c r="M64">
        <v>32.292189999999998</v>
      </c>
      <c r="N64">
        <v>43</v>
      </c>
      <c r="O64">
        <v>10.896445</v>
      </c>
      <c r="P64" s="3">
        <f t="shared" si="15"/>
        <v>4604.8714669999999</v>
      </c>
      <c r="Q64" s="3">
        <f>P65+P64</f>
        <v>5600.2808189999996</v>
      </c>
      <c r="R64">
        <v>4195900</v>
      </c>
      <c r="S64">
        <f>Q64/R64*100</f>
        <v>0.13347031194737718</v>
      </c>
    </row>
    <row r="65" spans="1:19" x14ac:dyDescent="0.2">
      <c r="A65">
        <v>350000</v>
      </c>
      <c r="B65">
        <v>0</v>
      </c>
      <c r="C65">
        <v>2480.1447999999996</v>
      </c>
      <c r="D65">
        <v>0</v>
      </c>
      <c r="E65">
        <v>1350.21922</v>
      </c>
      <c r="F65">
        <v>0</v>
      </c>
      <c r="G65">
        <v>505.56323999999995</v>
      </c>
      <c r="H65">
        <v>0</v>
      </c>
      <c r="I65">
        <v>212.25708</v>
      </c>
      <c r="J65">
        <v>6</v>
      </c>
      <c r="K65">
        <v>90.288352000000003</v>
      </c>
      <c r="L65">
        <v>10</v>
      </c>
      <c r="M65">
        <v>32.292189999999998</v>
      </c>
      <c r="N65">
        <v>12</v>
      </c>
      <c r="O65">
        <v>10.896445</v>
      </c>
      <c r="P65" s="3">
        <f t="shared" si="15"/>
        <v>995.40935200000001</v>
      </c>
      <c r="Q65" s="3">
        <f>P66+P65</f>
        <v>1336.835192</v>
      </c>
      <c r="R65">
        <v>4195900</v>
      </c>
      <c r="S65">
        <f>Q65/R65*100</f>
        <v>3.1860511260992874E-2</v>
      </c>
    </row>
    <row r="66" spans="1:19" x14ac:dyDescent="0.2">
      <c r="A66">
        <v>500000</v>
      </c>
      <c r="B66">
        <v>0</v>
      </c>
      <c r="C66">
        <v>2480.1447999999996</v>
      </c>
      <c r="D66">
        <v>0</v>
      </c>
      <c r="E66">
        <v>1350.21922</v>
      </c>
      <c r="F66">
        <v>0</v>
      </c>
      <c r="G66">
        <v>505.56323999999995</v>
      </c>
      <c r="H66">
        <v>1</v>
      </c>
      <c r="I66">
        <v>212.25708</v>
      </c>
      <c r="J66">
        <v>0</v>
      </c>
      <c r="K66">
        <v>90.288352000000003</v>
      </c>
      <c r="L66">
        <v>4</v>
      </c>
      <c r="M66">
        <v>32.292189999999998</v>
      </c>
      <c r="N66">
        <v>0</v>
      </c>
      <c r="O66">
        <v>10.896445</v>
      </c>
      <c r="P66" s="3">
        <f t="shared" si="15"/>
        <v>341.42583999999999</v>
      </c>
      <c r="Q66" s="3">
        <f>P67+P66</f>
        <v>721.25534599999992</v>
      </c>
      <c r="R66">
        <v>4195900</v>
      </c>
      <c r="S66">
        <f>Q66/R66*100</f>
        <v>1.7189526585476296E-2</v>
      </c>
    </row>
    <row r="67" spans="1:19" x14ac:dyDescent="0.2">
      <c r="A67" t="s">
        <v>12</v>
      </c>
      <c r="B67">
        <v>0</v>
      </c>
      <c r="C67">
        <v>2480.1447999999996</v>
      </c>
      <c r="D67">
        <v>0</v>
      </c>
      <c r="E67">
        <v>1350.21922</v>
      </c>
      <c r="F67">
        <v>0</v>
      </c>
      <c r="G67">
        <v>505.56323999999995</v>
      </c>
      <c r="H67">
        <v>0</v>
      </c>
      <c r="I67">
        <v>212.25708</v>
      </c>
      <c r="J67">
        <v>3</v>
      </c>
      <c r="K67">
        <v>90.288352000000003</v>
      </c>
      <c r="L67">
        <v>0</v>
      </c>
      <c r="M67">
        <v>32.292189999999998</v>
      </c>
      <c r="N67">
        <v>10</v>
      </c>
      <c r="O67">
        <v>10.896445</v>
      </c>
      <c r="P67" s="3">
        <f t="shared" si="15"/>
        <v>379.82950599999998</v>
      </c>
      <c r="Q67" s="3">
        <v>271</v>
      </c>
      <c r="R67">
        <v>4195900</v>
      </c>
      <c r="S67">
        <f>Q67/R67*100</f>
        <v>6.4586858600061961E-3</v>
      </c>
    </row>
    <row r="68" spans="1:19" x14ac:dyDescent="0.2">
      <c r="A68" t="s">
        <v>3</v>
      </c>
      <c r="B68">
        <v>14</v>
      </c>
      <c r="C68">
        <v>2480.1447999999996</v>
      </c>
      <c r="D68">
        <v>38</v>
      </c>
      <c r="E68">
        <v>1350.21922</v>
      </c>
      <c r="F68">
        <v>137</v>
      </c>
      <c r="G68">
        <v>505.56323999999995</v>
      </c>
      <c r="H68">
        <v>475</v>
      </c>
      <c r="I68">
        <v>212.25708</v>
      </c>
      <c r="J68">
        <v>1078</v>
      </c>
      <c r="K68">
        <v>90.288352000000003</v>
      </c>
      <c r="L68">
        <v>2026</v>
      </c>
      <c r="M68">
        <v>32.292189999999998</v>
      </c>
      <c r="N68">
        <v>2354</v>
      </c>
      <c r="O68">
        <v>10.896445</v>
      </c>
      <c r="P68" s="3">
        <f t="shared" si="15"/>
        <v>444519.68636599998</v>
      </c>
      <c r="Q68" s="3"/>
      <c r="R68">
        <v>4195900</v>
      </c>
    </row>
    <row r="69" spans="1:19" ht="15" x14ac:dyDescent="0.25">
      <c r="A69" s="2" t="s">
        <v>24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76</v>
      </c>
      <c r="B73" s="14">
        <v>5.0000000000000001E-4</v>
      </c>
      <c r="C73" s="4">
        <f>S65/100</f>
        <v>3.1860511260992872E-4</v>
      </c>
      <c r="D73" s="5">
        <f>S64/100</f>
        <v>1.3347031194737718E-3</v>
      </c>
      <c r="E73" s="5">
        <v>350000</v>
      </c>
      <c r="F73" s="5">
        <v>200000</v>
      </c>
      <c r="G73" s="5">
        <f t="shared" ref="G73:G78" si="18">D73/C73</f>
        <v>4.1892081032229438</v>
      </c>
      <c r="H73" s="5">
        <f t="shared" ref="H73:H78" si="19">LN(G73)</f>
        <v>1.4325117192277261</v>
      </c>
      <c r="I73" s="5">
        <f t="shared" ref="I73:I78" si="20">E73/F73</f>
        <v>1.75</v>
      </c>
      <c r="J73" s="5">
        <f t="shared" ref="J73:J78" si="21">LN(I73)</f>
        <v>0.55961578793542266</v>
      </c>
      <c r="K73" s="4">
        <v>1.9234801750286095</v>
      </c>
      <c r="L73" s="4">
        <v>4811.8027558538124</v>
      </c>
      <c r="M73" s="7">
        <f t="shared" ref="M73:M78" si="22">POWER(B73,1/K73)</f>
        <v>1.9223137344769516E-2</v>
      </c>
      <c r="N73" s="8">
        <f t="shared" ref="N73:N78" si="23">L73/M73</f>
        <v>250313.08207154181</v>
      </c>
      <c r="O73">
        <f t="shared" ref="O73:O78" si="24">R54</f>
        <v>4195900</v>
      </c>
      <c r="P73" s="8">
        <f>O73*(K73/(1-K73))*POWER(L73,K73)*(-1)*POWER(N73,1-K73)</f>
        <v>1093802266.8171129</v>
      </c>
      <c r="Q73" s="9">
        <f t="shared" ref="Q73:Q78" si="25">B73*O73</f>
        <v>2097.9499999999998</v>
      </c>
      <c r="R73" s="4">
        <f t="shared" ref="R73:R78" si="26">P73/Q73</f>
        <v>521367.1759656393</v>
      </c>
      <c r="S73" s="3">
        <f t="shared" ref="S73:S78" si="27">7.023*P73*1.23</f>
        <v>9448581183.4235973</v>
      </c>
    </row>
    <row r="74" spans="1:19" x14ac:dyDescent="0.2">
      <c r="A74" t="s">
        <v>76</v>
      </c>
      <c r="B74" s="14">
        <v>1E-3</v>
      </c>
      <c r="C74" s="5">
        <f>S65/100</f>
        <v>3.1860511260992872E-4</v>
      </c>
      <c r="D74" s="5">
        <f>S64/100</f>
        <v>1.3347031194737718E-3</v>
      </c>
      <c r="E74" s="5">
        <v>350000</v>
      </c>
      <c r="F74" s="5">
        <v>200000</v>
      </c>
      <c r="G74" s="5">
        <f t="shared" si="18"/>
        <v>4.1892081032229438</v>
      </c>
      <c r="H74" s="5">
        <f t="shared" si="19"/>
        <v>1.4325117192277261</v>
      </c>
      <c r="I74" s="5">
        <f t="shared" si="20"/>
        <v>1.75</v>
      </c>
      <c r="J74" s="5">
        <f t="shared" si="21"/>
        <v>0.55961578793542266</v>
      </c>
      <c r="K74" s="4">
        <v>1.9234801750286095</v>
      </c>
      <c r="L74" s="4">
        <v>4811.8027558538124</v>
      </c>
      <c r="M74" s="7">
        <f t="shared" si="22"/>
        <v>2.7563035814321329E-2</v>
      </c>
      <c r="N74" s="8">
        <f t="shared" si="23"/>
        <v>174574.48403973243</v>
      </c>
      <c r="O74">
        <f t="shared" si="24"/>
        <v>4195900</v>
      </c>
      <c r="P74" s="8">
        <f>O74*(K74/(1-K74))*POWER(L74,K74)*(POWER(N73,1-K74)-POWER(N74,1-K74))+P73</f>
        <v>1525689067.3937047</v>
      </c>
      <c r="Q74" s="9">
        <f t="shared" si="25"/>
        <v>4195.8999999999996</v>
      </c>
      <c r="R74" s="4">
        <f t="shared" si="26"/>
        <v>363614.25853659638</v>
      </c>
      <c r="S74" s="3">
        <f t="shared" si="27"/>
        <v>13179344613.976362</v>
      </c>
    </row>
    <row r="75" spans="1:19" x14ac:dyDescent="0.2">
      <c r="A75" t="s">
        <v>80</v>
      </c>
      <c r="B75" s="14">
        <v>2.5000000000000001E-3</v>
      </c>
      <c r="C75" s="5">
        <f>S62/100</f>
        <v>2.2007754226745155E-3</v>
      </c>
      <c r="D75" s="5">
        <f>S61/100</f>
        <v>3.2863041504802306E-3</v>
      </c>
      <c r="E75" s="5">
        <v>160000</v>
      </c>
      <c r="F75" s="5">
        <v>140000</v>
      </c>
      <c r="G75" s="5">
        <f t="shared" si="18"/>
        <v>1.4932482963148119</v>
      </c>
      <c r="H75" s="5">
        <f t="shared" si="19"/>
        <v>0.40095381170534278</v>
      </c>
      <c r="I75" s="5">
        <f t="shared" si="20"/>
        <v>1.1428571428571428</v>
      </c>
      <c r="J75" s="5">
        <f t="shared" si="21"/>
        <v>0.13353139262452257</v>
      </c>
      <c r="K75" s="4">
        <f>H75/J75</f>
        <v>3.0026932530598729</v>
      </c>
      <c r="L75" s="4">
        <f>F75*(D75^(1/K75))</f>
        <v>20850.017010097799</v>
      </c>
      <c r="M75" s="7">
        <f t="shared" si="22"/>
        <v>0.13596422090891067</v>
      </c>
      <c r="N75" s="8">
        <f t="shared" si="23"/>
        <v>153349.29197341029</v>
      </c>
      <c r="O75">
        <f t="shared" si="24"/>
        <v>4195900</v>
      </c>
      <c r="P75" s="8">
        <f>O75*(K75/(1-K75))*POWER(L75,K75)*(POWER(N74,1-K75)-POWER(N75,1-K75))+P74</f>
        <v>2077154566.306953</v>
      </c>
      <c r="Q75" s="9">
        <f t="shared" si="25"/>
        <v>10489.75</v>
      </c>
      <c r="R75" s="4">
        <f t="shared" si="26"/>
        <v>198017.54725393388</v>
      </c>
      <c r="S75" s="3">
        <f t="shared" si="27"/>
        <v>17943063518.583687</v>
      </c>
    </row>
    <row r="76" spans="1:19" x14ac:dyDescent="0.2">
      <c r="A76" t="s">
        <v>71</v>
      </c>
      <c r="B76" s="14">
        <v>5.0000000000000001E-3</v>
      </c>
      <c r="C76" s="5">
        <f>S60/100</f>
        <v>4.5695045835220088E-3</v>
      </c>
      <c r="D76" s="5">
        <f>S59/100</f>
        <v>7.0958665239877015E-3</v>
      </c>
      <c r="E76" s="5">
        <v>120000</v>
      </c>
      <c r="F76" s="5">
        <v>100000</v>
      </c>
      <c r="G76" s="5">
        <f t="shared" si="18"/>
        <v>1.5528743640122282</v>
      </c>
      <c r="H76" s="5">
        <f t="shared" si="19"/>
        <v>0.44010764199658714</v>
      </c>
      <c r="I76" s="5">
        <f t="shared" si="20"/>
        <v>1.2</v>
      </c>
      <c r="J76" s="5">
        <f t="shared" si="21"/>
        <v>0.18232155679395459</v>
      </c>
      <c r="K76" s="4">
        <f>H76/J76</f>
        <v>2.4139089734406007</v>
      </c>
      <c r="L76" s="4">
        <f>F76*(D76^(1/K76))</f>
        <v>12874.933302831118</v>
      </c>
      <c r="M76" s="7">
        <f t="shared" si="22"/>
        <v>0.11136838022836454</v>
      </c>
      <c r="N76" s="8">
        <f t="shared" si="23"/>
        <v>115606.72137307414</v>
      </c>
      <c r="O76">
        <f t="shared" si="24"/>
        <v>4195900</v>
      </c>
      <c r="P76" s="8">
        <f>O76*(K76/(1-K76))*POWER(L76,K76)*(POWER(N75,1-K76)-POWER(N76,1-K76))+P75</f>
        <v>3440782969.3466492</v>
      </c>
      <c r="Q76" s="9">
        <f t="shared" si="25"/>
        <v>20979.5</v>
      </c>
      <c r="R76" s="4">
        <f t="shared" si="26"/>
        <v>164006.9100477442</v>
      </c>
      <c r="S76" s="3">
        <f t="shared" si="27"/>
        <v>29722481116.277462</v>
      </c>
    </row>
    <row r="77" spans="1:19" x14ac:dyDescent="0.2">
      <c r="A77" t="s">
        <v>79</v>
      </c>
      <c r="B77" s="14">
        <v>0.01</v>
      </c>
      <c r="C77" s="5">
        <f>S58/100</f>
        <v>8.7025496160537657E-3</v>
      </c>
      <c r="D77" s="5">
        <f>S57/100</f>
        <v>1.1390717212993638E-2</v>
      </c>
      <c r="E77" s="5">
        <v>90000</v>
      </c>
      <c r="F77" s="5">
        <v>80000</v>
      </c>
      <c r="G77" s="5">
        <f t="shared" si="18"/>
        <v>1.3088942569176458</v>
      </c>
      <c r="H77" s="5">
        <f t="shared" si="19"/>
        <v>0.26918270208923684</v>
      </c>
      <c r="I77" s="5">
        <f t="shared" si="20"/>
        <v>1.125</v>
      </c>
      <c r="J77" s="5">
        <f t="shared" si="21"/>
        <v>0.11778303565638346</v>
      </c>
      <c r="K77" s="4">
        <f>H77/J77</f>
        <v>2.2854114821300926</v>
      </c>
      <c r="L77" s="4">
        <f>F77*(D77^(1/K77))</f>
        <v>11290.636507385403</v>
      </c>
      <c r="M77" s="7">
        <f t="shared" si="22"/>
        <v>0.13331655039755935</v>
      </c>
      <c r="N77" s="8">
        <f t="shared" si="23"/>
        <v>84690.433961244344</v>
      </c>
      <c r="O77">
        <f t="shared" si="24"/>
        <v>4195900</v>
      </c>
      <c r="P77" s="8">
        <f>O77*(K77/(1-K77))*POWER(L77,K77)*(POWER(N76,1-K77)-POWER(N77,1-K77))+P76</f>
        <v>5523749314.1250534</v>
      </c>
      <c r="Q77" s="9">
        <f t="shared" si="25"/>
        <v>41959</v>
      </c>
      <c r="R77" s="4">
        <f t="shared" si="26"/>
        <v>131646.35272825981</v>
      </c>
      <c r="S77" s="3">
        <f t="shared" si="27"/>
        <v>47715748462.71331</v>
      </c>
    </row>
    <row r="78" spans="1:19" x14ac:dyDescent="0.2">
      <c r="A78" t="s">
        <v>45</v>
      </c>
      <c r="B78" s="14">
        <v>0.02</v>
      </c>
      <c r="C78" s="5">
        <f>S55/100</f>
        <v>1.9383992730760982E-2</v>
      </c>
      <c r="D78" s="5">
        <f>S54/100</f>
        <v>2.7364593523916202E-2</v>
      </c>
      <c r="E78" s="5">
        <v>60000</v>
      </c>
      <c r="F78" s="5">
        <v>50000</v>
      </c>
      <c r="G78" s="5">
        <f t="shared" si="18"/>
        <v>1.4117108845429243</v>
      </c>
      <c r="H78" s="5">
        <f t="shared" si="19"/>
        <v>0.34480236211625043</v>
      </c>
      <c r="I78" s="5">
        <f t="shared" si="20"/>
        <v>1.2</v>
      </c>
      <c r="J78" s="5">
        <f t="shared" si="21"/>
        <v>0.18232155679395459</v>
      </c>
      <c r="K78" s="4">
        <f>H78/J78</f>
        <v>1.8911771497537113</v>
      </c>
      <c r="L78" s="4">
        <f>F78*(D78^(1/K78))</f>
        <v>7457.6254259774641</v>
      </c>
      <c r="M78" s="7">
        <f t="shared" si="22"/>
        <v>0.12636697862115492</v>
      </c>
      <c r="N78" s="8">
        <f t="shared" si="23"/>
        <v>59015.618695254561</v>
      </c>
      <c r="O78">
        <f t="shared" si="24"/>
        <v>4195900</v>
      </c>
      <c r="P78" s="8">
        <f>O78*(K78/(1-K78))*POWER(L78,K78)*(POWER(N77,1-K78)-POWER(N78,1-K78))+P77</f>
        <v>8416278313.4059134</v>
      </c>
      <c r="Q78" s="9">
        <f t="shared" si="25"/>
        <v>83918</v>
      </c>
      <c r="R78" s="4">
        <f t="shared" si="26"/>
        <v>100291.69324109146</v>
      </c>
      <c r="S78" s="3">
        <f t="shared" si="27"/>
        <v>72702252791.911163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28">S32+S73</f>
        <v>78550298597.038544</v>
      </c>
      <c r="C85">
        <f t="shared" ref="C85:C90" si="29">1391100000000*1.23</f>
        <v>1711053000000</v>
      </c>
      <c r="F85" s="10">
        <f t="shared" ref="F85:F90" si="30">B85/C85*100</f>
        <v>4.5907577729642828</v>
      </c>
    </row>
    <row r="86" spans="1:7" ht="15" x14ac:dyDescent="0.25">
      <c r="A86" s="18">
        <v>1E-3</v>
      </c>
      <c r="B86" s="3">
        <f t="shared" si="28"/>
        <v>89669060339.127197</v>
      </c>
      <c r="C86">
        <f t="shared" si="29"/>
        <v>1711053000000</v>
      </c>
      <c r="F86" s="10">
        <f t="shared" si="30"/>
        <v>5.2405776056689763</v>
      </c>
    </row>
    <row r="87" spans="1:7" ht="15" x14ac:dyDescent="0.25">
      <c r="A87" s="18">
        <v>2.5000000000000001E-3</v>
      </c>
      <c r="B87" s="3">
        <f t="shared" si="28"/>
        <v>107373680268.48114</v>
      </c>
      <c r="C87">
        <f t="shared" si="29"/>
        <v>1711053000000</v>
      </c>
      <c r="F87" s="10">
        <f t="shared" si="30"/>
        <v>6.2752983261465971</v>
      </c>
    </row>
    <row r="88" spans="1:7" ht="15" x14ac:dyDescent="0.25">
      <c r="A88" s="18">
        <v>5.0000000000000001E-3</v>
      </c>
      <c r="B88" s="3">
        <f t="shared" si="28"/>
        <v>135744521412.60365</v>
      </c>
      <c r="C88">
        <f t="shared" si="29"/>
        <v>1711053000000</v>
      </c>
      <c r="F88" s="10">
        <f t="shared" si="30"/>
        <v>7.9333908074503618</v>
      </c>
    </row>
    <row r="89" spans="1:7" ht="15" x14ac:dyDescent="0.25">
      <c r="A89" s="19">
        <v>0.01</v>
      </c>
      <c r="B89" s="3">
        <f t="shared" si="28"/>
        <v>171170037147.63226</v>
      </c>
      <c r="C89">
        <f t="shared" si="29"/>
        <v>1711053000000</v>
      </c>
      <c r="F89" s="10">
        <f t="shared" si="30"/>
        <v>10.003783468287205</v>
      </c>
    </row>
    <row r="90" spans="1:7" ht="15" x14ac:dyDescent="0.25">
      <c r="A90" s="19">
        <v>0.02</v>
      </c>
      <c r="B90" s="3">
        <f t="shared" si="28"/>
        <v>236599464935.23706</v>
      </c>
      <c r="C90">
        <f t="shared" si="29"/>
        <v>1711053000000</v>
      </c>
      <c r="F90" s="10">
        <f t="shared" si="30"/>
        <v>13.827711060688189</v>
      </c>
    </row>
  </sheetData>
  <pageMargins left="0.7" right="0.7" top="0.75" bottom="0.75" header="0.3" footer="0.3"/>
  <pageSetup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" customWidth="1"/>
    <col min="2" max="2" width="26.5703125" customWidth="1"/>
    <col min="3" max="3" width="13.42578125" customWidth="1"/>
    <col min="5" max="5" width="14.28515625" customWidth="1"/>
    <col min="7" max="7" width="14.140625" customWidth="1"/>
    <col min="9" max="9" width="13.5703125" customWidth="1"/>
    <col min="11" max="11" width="14.140625" customWidth="1"/>
    <col min="13" max="13" width="14.140625" customWidth="1"/>
    <col min="14" max="14" width="15.42578125" customWidth="1"/>
    <col min="15" max="15" width="13.140625" customWidth="1"/>
    <col min="16" max="16" width="14.140625" customWidth="1"/>
    <col min="17" max="17" width="24.140625" customWidth="1"/>
    <col min="18" max="18" width="12" customWidth="1"/>
    <col min="19" max="19" width="15" customWidth="1"/>
    <col min="257" max="257" width="14" customWidth="1"/>
    <col min="258" max="258" width="26.5703125" customWidth="1"/>
    <col min="259" max="259" width="13.42578125" customWidth="1"/>
    <col min="261" max="261" width="14.28515625" customWidth="1"/>
    <col min="263" max="263" width="14.140625" customWidth="1"/>
    <col min="265" max="265" width="13.5703125" customWidth="1"/>
    <col min="267" max="267" width="14.140625" customWidth="1"/>
    <col min="269" max="269" width="14.140625" customWidth="1"/>
    <col min="270" max="270" width="15.42578125" customWidth="1"/>
    <col min="271" max="271" width="13.140625" customWidth="1"/>
    <col min="272" max="272" width="14.140625" customWidth="1"/>
    <col min="273" max="273" width="24.140625" customWidth="1"/>
    <col min="274" max="274" width="12" customWidth="1"/>
    <col min="275" max="275" width="15" customWidth="1"/>
    <col min="513" max="513" width="14" customWidth="1"/>
    <col min="514" max="514" width="26.5703125" customWidth="1"/>
    <col min="515" max="515" width="13.42578125" customWidth="1"/>
    <col min="517" max="517" width="14.28515625" customWidth="1"/>
    <col min="519" max="519" width="14.140625" customWidth="1"/>
    <col min="521" max="521" width="13.5703125" customWidth="1"/>
    <col min="523" max="523" width="14.140625" customWidth="1"/>
    <col min="525" max="525" width="14.140625" customWidth="1"/>
    <col min="526" max="526" width="15.42578125" customWidth="1"/>
    <col min="527" max="527" width="13.140625" customWidth="1"/>
    <col min="528" max="528" width="14.140625" customWidth="1"/>
    <col min="529" max="529" width="24.140625" customWidth="1"/>
    <col min="530" max="530" width="12" customWidth="1"/>
    <col min="531" max="531" width="15" customWidth="1"/>
    <col min="769" max="769" width="14" customWidth="1"/>
    <col min="770" max="770" width="26.5703125" customWidth="1"/>
    <col min="771" max="771" width="13.42578125" customWidth="1"/>
    <col min="773" max="773" width="14.28515625" customWidth="1"/>
    <col min="775" max="775" width="14.140625" customWidth="1"/>
    <col min="777" max="777" width="13.5703125" customWidth="1"/>
    <col min="779" max="779" width="14.140625" customWidth="1"/>
    <col min="781" max="781" width="14.140625" customWidth="1"/>
    <col min="782" max="782" width="15.42578125" customWidth="1"/>
    <col min="783" max="783" width="13.140625" customWidth="1"/>
    <col min="784" max="784" width="14.140625" customWidth="1"/>
    <col min="785" max="785" width="24.140625" customWidth="1"/>
    <col min="786" max="786" width="12" customWidth="1"/>
    <col min="787" max="787" width="15" customWidth="1"/>
    <col min="1025" max="1025" width="14" customWidth="1"/>
    <col min="1026" max="1026" width="26.5703125" customWidth="1"/>
    <col min="1027" max="1027" width="13.42578125" customWidth="1"/>
    <col min="1029" max="1029" width="14.28515625" customWidth="1"/>
    <col min="1031" max="1031" width="14.140625" customWidth="1"/>
    <col min="1033" max="1033" width="13.5703125" customWidth="1"/>
    <col min="1035" max="1035" width="14.140625" customWidth="1"/>
    <col min="1037" max="1037" width="14.140625" customWidth="1"/>
    <col min="1038" max="1038" width="15.42578125" customWidth="1"/>
    <col min="1039" max="1039" width="13.140625" customWidth="1"/>
    <col min="1040" max="1040" width="14.140625" customWidth="1"/>
    <col min="1041" max="1041" width="24.140625" customWidth="1"/>
    <col min="1042" max="1042" width="12" customWidth="1"/>
    <col min="1043" max="1043" width="15" customWidth="1"/>
    <col min="1281" max="1281" width="14" customWidth="1"/>
    <col min="1282" max="1282" width="26.5703125" customWidth="1"/>
    <col min="1283" max="1283" width="13.42578125" customWidth="1"/>
    <col min="1285" max="1285" width="14.28515625" customWidth="1"/>
    <col min="1287" max="1287" width="14.140625" customWidth="1"/>
    <col min="1289" max="1289" width="13.5703125" customWidth="1"/>
    <col min="1291" max="1291" width="14.140625" customWidth="1"/>
    <col min="1293" max="1293" width="14.140625" customWidth="1"/>
    <col min="1294" max="1294" width="15.42578125" customWidth="1"/>
    <col min="1295" max="1295" width="13.140625" customWidth="1"/>
    <col min="1296" max="1296" width="14.140625" customWidth="1"/>
    <col min="1297" max="1297" width="24.140625" customWidth="1"/>
    <col min="1298" max="1298" width="12" customWidth="1"/>
    <col min="1299" max="1299" width="15" customWidth="1"/>
    <col min="1537" max="1537" width="14" customWidth="1"/>
    <col min="1538" max="1538" width="26.5703125" customWidth="1"/>
    <col min="1539" max="1539" width="13.42578125" customWidth="1"/>
    <col min="1541" max="1541" width="14.28515625" customWidth="1"/>
    <col min="1543" max="1543" width="14.140625" customWidth="1"/>
    <col min="1545" max="1545" width="13.5703125" customWidth="1"/>
    <col min="1547" max="1547" width="14.140625" customWidth="1"/>
    <col min="1549" max="1549" width="14.140625" customWidth="1"/>
    <col min="1550" max="1550" width="15.42578125" customWidth="1"/>
    <col min="1551" max="1551" width="13.140625" customWidth="1"/>
    <col min="1552" max="1552" width="14.140625" customWidth="1"/>
    <col min="1553" max="1553" width="24.140625" customWidth="1"/>
    <col min="1554" max="1554" width="12" customWidth="1"/>
    <col min="1555" max="1555" width="15" customWidth="1"/>
    <col min="1793" max="1793" width="14" customWidth="1"/>
    <col min="1794" max="1794" width="26.5703125" customWidth="1"/>
    <col min="1795" max="1795" width="13.42578125" customWidth="1"/>
    <col min="1797" max="1797" width="14.28515625" customWidth="1"/>
    <col min="1799" max="1799" width="14.140625" customWidth="1"/>
    <col min="1801" max="1801" width="13.5703125" customWidth="1"/>
    <col min="1803" max="1803" width="14.140625" customWidth="1"/>
    <col min="1805" max="1805" width="14.140625" customWidth="1"/>
    <col min="1806" max="1806" width="15.42578125" customWidth="1"/>
    <col min="1807" max="1807" width="13.140625" customWidth="1"/>
    <col min="1808" max="1808" width="14.140625" customWidth="1"/>
    <col min="1809" max="1809" width="24.140625" customWidth="1"/>
    <col min="1810" max="1810" width="12" customWidth="1"/>
    <col min="1811" max="1811" width="15" customWidth="1"/>
    <col min="2049" max="2049" width="14" customWidth="1"/>
    <col min="2050" max="2050" width="26.5703125" customWidth="1"/>
    <col min="2051" max="2051" width="13.42578125" customWidth="1"/>
    <col min="2053" max="2053" width="14.28515625" customWidth="1"/>
    <col min="2055" max="2055" width="14.140625" customWidth="1"/>
    <col min="2057" max="2057" width="13.5703125" customWidth="1"/>
    <col min="2059" max="2059" width="14.140625" customWidth="1"/>
    <col min="2061" max="2061" width="14.140625" customWidth="1"/>
    <col min="2062" max="2062" width="15.42578125" customWidth="1"/>
    <col min="2063" max="2063" width="13.140625" customWidth="1"/>
    <col min="2064" max="2064" width="14.140625" customWidth="1"/>
    <col min="2065" max="2065" width="24.140625" customWidth="1"/>
    <col min="2066" max="2066" width="12" customWidth="1"/>
    <col min="2067" max="2067" width="15" customWidth="1"/>
    <col min="2305" max="2305" width="14" customWidth="1"/>
    <col min="2306" max="2306" width="26.5703125" customWidth="1"/>
    <col min="2307" max="2307" width="13.42578125" customWidth="1"/>
    <col min="2309" max="2309" width="14.28515625" customWidth="1"/>
    <col min="2311" max="2311" width="14.140625" customWidth="1"/>
    <col min="2313" max="2313" width="13.5703125" customWidth="1"/>
    <col min="2315" max="2315" width="14.140625" customWidth="1"/>
    <col min="2317" max="2317" width="14.140625" customWidth="1"/>
    <col min="2318" max="2318" width="15.42578125" customWidth="1"/>
    <col min="2319" max="2319" width="13.140625" customWidth="1"/>
    <col min="2320" max="2320" width="14.140625" customWidth="1"/>
    <col min="2321" max="2321" width="24.140625" customWidth="1"/>
    <col min="2322" max="2322" width="12" customWidth="1"/>
    <col min="2323" max="2323" width="15" customWidth="1"/>
    <col min="2561" max="2561" width="14" customWidth="1"/>
    <col min="2562" max="2562" width="26.5703125" customWidth="1"/>
    <col min="2563" max="2563" width="13.42578125" customWidth="1"/>
    <col min="2565" max="2565" width="14.28515625" customWidth="1"/>
    <col min="2567" max="2567" width="14.140625" customWidth="1"/>
    <col min="2569" max="2569" width="13.5703125" customWidth="1"/>
    <col min="2571" max="2571" width="14.140625" customWidth="1"/>
    <col min="2573" max="2573" width="14.140625" customWidth="1"/>
    <col min="2574" max="2574" width="15.42578125" customWidth="1"/>
    <col min="2575" max="2575" width="13.140625" customWidth="1"/>
    <col min="2576" max="2576" width="14.140625" customWidth="1"/>
    <col min="2577" max="2577" width="24.140625" customWidth="1"/>
    <col min="2578" max="2578" width="12" customWidth="1"/>
    <col min="2579" max="2579" width="15" customWidth="1"/>
    <col min="2817" max="2817" width="14" customWidth="1"/>
    <col min="2818" max="2818" width="26.5703125" customWidth="1"/>
    <col min="2819" max="2819" width="13.42578125" customWidth="1"/>
    <col min="2821" max="2821" width="14.28515625" customWidth="1"/>
    <col min="2823" max="2823" width="14.140625" customWidth="1"/>
    <col min="2825" max="2825" width="13.5703125" customWidth="1"/>
    <col min="2827" max="2827" width="14.140625" customWidth="1"/>
    <col min="2829" max="2829" width="14.140625" customWidth="1"/>
    <col min="2830" max="2830" width="15.42578125" customWidth="1"/>
    <col min="2831" max="2831" width="13.140625" customWidth="1"/>
    <col min="2832" max="2832" width="14.140625" customWidth="1"/>
    <col min="2833" max="2833" width="24.140625" customWidth="1"/>
    <col min="2834" max="2834" width="12" customWidth="1"/>
    <col min="2835" max="2835" width="15" customWidth="1"/>
    <col min="3073" max="3073" width="14" customWidth="1"/>
    <col min="3074" max="3074" width="26.5703125" customWidth="1"/>
    <col min="3075" max="3075" width="13.42578125" customWidth="1"/>
    <col min="3077" max="3077" width="14.28515625" customWidth="1"/>
    <col min="3079" max="3079" width="14.140625" customWidth="1"/>
    <col min="3081" max="3081" width="13.5703125" customWidth="1"/>
    <col min="3083" max="3083" width="14.140625" customWidth="1"/>
    <col min="3085" max="3085" width="14.140625" customWidth="1"/>
    <col min="3086" max="3086" width="15.42578125" customWidth="1"/>
    <col min="3087" max="3087" width="13.140625" customWidth="1"/>
    <col min="3088" max="3088" width="14.140625" customWidth="1"/>
    <col min="3089" max="3089" width="24.140625" customWidth="1"/>
    <col min="3090" max="3090" width="12" customWidth="1"/>
    <col min="3091" max="3091" width="15" customWidth="1"/>
    <col min="3329" max="3329" width="14" customWidth="1"/>
    <col min="3330" max="3330" width="26.5703125" customWidth="1"/>
    <col min="3331" max="3331" width="13.42578125" customWidth="1"/>
    <col min="3333" max="3333" width="14.28515625" customWidth="1"/>
    <col min="3335" max="3335" width="14.140625" customWidth="1"/>
    <col min="3337" max="3337" width="13.5703125" customWidth="1"/>
    <col min="3339" max="3339" width="14.140625" customWidth="1"/>
    <col min="3341" max="3341" width="14.140625" customWidth="1"/>
    <col min="3342" max="3342" width="15.42578125" customWidth="1"/>
    <col min="3343" max="3343" width="13.140625" customWidth="1"/>
    <col min="3344" max="3344" width="14.140625" customWidth="1"/>
    <col min="3345" max="3345" width="24.140625" customWidth="1"/>
    <col min="3346" max="3346" width="12" customWidth="1"/>
    <col min="3347" max="3347" width="15" customWidth="1"/>
    <col min="3585" max="3585" width="14" customWidth="1"/>
    <col min="3586" max="3586" width="26.5703125" customWidth="1"/>
    <col min="3587" max="3587" width="13.42578125" customWidth="1"/>
    <col min="3589" max="3589" width="14.28515625" customWidth="1"/>
    <col min="3591" max="3591" width="14.140625" customWidth="1"/>
    <col min="3593" max="3593" width="13.5703125" customWidth="1"/>
    <col min="3595" max="3595" width="14.140625" customWidth="1"/>
    <col min="3597" max="3597" width="14.140625" customWidth="1"/>
    <col min="3598" max="3598" width="15.42578125" customWidth="1"/>
    <col min="3599" max="3599" width="13.140625" customWidth="1"/>
    <col min="3600" max="3600" width="14.140625" customWidth="1"/>
    <col min="3601" max="3601" width="24.140625" customWidth="1"/>
    <col min="3602" max="3602" width="12" customWidth="1"/>
    <col min="3603" max="3603" width="15" customWidth="1"/>
    <col min="3841" max="3841" width="14" customWidth="1"/>
    <col min="3842" max="3842" width="26.5703125" customWidth="1"/>
    <col min="3843" max="3843" width="13.42578125" customWidth="1"/>
    <col min="3845" max="3845" width="14.28515625" customWidth="1"/>
    <col min="3847" max="3847" width="14.140625" customWidth="1"/>
    <col min="3849" max="3849" width="13.5703125" customWidth="1"/>
    <col min="3851" max="3851" width="14.140625" customWidth="1"/>
    <col min="3853" max="3853" width="14.140625" customWidth="1"/>
    <col min="3854" max="3854" width="15.42578125" customWidth="1"/>
    <col min="3855" max="3855" width="13.140625" customWidth="1"/>
    <col min="3856" max="3856" width="14.140625" customWidth="1"/>
    <col min="3857" max="3857" width="24.140625" customWidth="1"/>
    <col min="3858" max="3858" width="12" customWidth="1"/>
    <col min="3859" max="3859" width="15" customWidth="1"/>
    <col min="4097" max="4097" width="14" customWidth="1"/>
    <col min="4098" max="4098" width="26.5703125" customWidth="1"/>
    <col min="4099" max="4099" width="13.42578125" customWidth="1"/>
    <col min="4101" max="4101" width="14.28515625" customWidth="1"/>
    <col min="4103" max="4103" width="14.140625" customWidth="1"/>
    <col min="4105" max="4105" width="13.5703125" customWidth="1"/>
    <col min="4107" max="4107" width="14.140625" customWidth="1"/>
    <col min="4109" max="4109" width="14.140625" customWidth="1"/>
    <col min="4110" max="4110" width="15.42578125" customWidth="1"/>
    <col min="4111" max="4111" width="13.140625" customWidth="1"/>
    <col min="4112" max="4112" width="14.140625" customWidth="1"/>
    <col min="4113" max="4113" width="24.140625" customWidth="1"/>
    <col min="4114" max="4114" width="12" customWidth="1"/>
    <col min="4115" max="4115" width="15" customWidth="1"/>
    <col min="4353" max="4353" width="14" customWidth="1"/>
    <col min="4354" max="4354" width="26.5703125" customWidth="1"/>
    <col min="4355" max="4355" width="13.42578125" customWidth="1"/>
    <col min="4357" max="4357" width="14.28515625" customWidth="1"/>
    <col min="4359" max="4359" width="14.140625" customWidth="1"/>
    <col min="4361" max="4361" width="13.5703125" customWidth="1"/>
    <col min="4363" max="4363" width="14.140625" customWidth="1"/>
    <col min="4365" max="4365" width="14.140625" customWidth="1"/>
    <col min="4366" max="4366" width="15.42578125" customWidth="1"/>
    <col min="4367" max="4367" width="13.140625" customWidth="1"/>
    <col min="4368" max="4368" width="14.140625" customWidth="1"/>
    <col min="4369" max="4369" width="24.140625" customWidth="1"/>
    <col min="4370" max="4370" width="12" customWidth="1"/>
    <col min="4371" max="4371" width="15" customWidth="1"/>
    <col min="4609" max="4609" width="14" customWidth="1"/>
    <col min="4610" max="4610" width="26.5703125" customWidth="1"/>
    <col min="4611" max="4611" width="13.42578125" customWidth="1"/>
    <col min="4613" max="4613" width="14.28515625" customWidth="1"/>
    <col min="4615" max="4615" width="14.140625" customWidth="1"/>
    <col min="4617" max="4617" width="13.5703125" customWidth="1"/>
    <col min="4619" max="4619" width="14.140625" customWidth="1"/>
    <col min="4621" max="4621" width="14.140625" customWidth="1"/>
    <col min="4622" max="4622" width="15.42578125" customWidth="1"/>
    <col min="4623" max="4623" width="13.140625" customWidth="1"/>
    <col min="4624" max="4624" width="14.140625" customWidth="1"/>
    <col min="4625" max="4625" width="24.140625" customWidth="1"/>
    <col min="4626" max="4626" width="12" customWidth="1"/>
    <col min="4627" max="4627" width="15" customWidth="1"/>
    <col min="4865" max="4865" width="14" customWidth="1"/>
    <col min="4866" max="4866" width="26.5703125" customWidth="1"/>
    <col min="4867" max="4867" width="13.42578125" customWidth="1"/>
    <col min="4869" max="4869" width="14.28515625" customWidth="1"/>
    <col min="4871" max="4871" width="14.140625" customWidth="1"/>
    <col min="4873" max="4873" width="13.5703125" customWidth="1"/>
    <col min="4875" max="4875" width="14.140625" customWidth="1"/>
    <col min="4877" max="4877" width="14.140625" customWidth="1"/>
    <col min="4878" max="4878" width="15.42578125" customWidth="1"/>
    <col min="4879" max="4879" width="13.140625" customWidth="1"/>
    <col min="4880" max="4880" width="14.140625" customWidth="1"/>
    <col min="4881" max="4881" width="24.140625" customWidth="1"/>
    <col min="4882" max="4882" width="12" customWidth="1"/>
    <col min="4883" max="4883" width="15" customWidth="1"/>
    <col min="5121" max="5121" width="14" customWidth="1"/>
    <col min="5122" max="5122" width="26.5703125" customWidth="1"/>
    <col min="5123" max="5123" width="13.42578125" customWidth="1"/>
    <col min="5125" max="5125" width="14.28515625" customWidth="1"/>
    <col min="5127" max="5127" width="14.140625" customWidth="1"/>
    <col min="5129" max="5129" width="13.5703125" customWidth="1"/>
    <col min="5131" max="5131" width="14.140625" customWidth="1"/>
    <col min="5133" max="5133" width="14.140625" customWidth="1"/>
    <col min="5134" max="5134" width="15.42578125" customWidth="1"/>
    <col min="5135" max="5135" width="13.140625" customWidth="1"/>
    <col min="5136" max="5136" width="14.140625" customWidth="1"/>
    <col min="5137" max="5137" width="24.140625" customWidth="1"/>
    <col min="5138" max="5138" width="12" customWidth="1"/>
    <col min="5139" max="5139" width="15" customWidth="1"/>
    <col min="5377" max="5377" width="14" customWidth="1"/>
    <col min="5378" max="5378" width="26.5703125" customWidth="1"/>
    <col min="5379" max="5379" width="13.42578125" customWidth="1"/>
    <col min="5381" max="5381" width="14.28515625" customWidth="1"/>
    <col min="5383" max="5383" width="14.140625" customWidth="1"/>
    <col min="5385" max="5385" width="13.5703125" customWidth="1"/>
    <col min="5387" max="5387" width="14.140625" customWidth="1"/>
    <col min="5389" max="5389" width="14.140625" customWidth="1"/>
    <col min="5390" max="5390" width="15.42578125" customWidth="1"/>
    <col min="5391" max="5391" width="13.140625" customWidth="1"/>
    <col min="5392" max="5392" width="14.140625" customWidth="1"/>
    <col min="5393" max="5393" width="24.140625" customWidth="1"/>
    <col min="5394" max="5394" width="12" customWidth="1"/>
    <col min="5395" max="5395" width="15" customWidth="1"/>
    <col min="5633" max="5633" width="14" customWidth="1"/>
    <col min="5634" max="5634" width="26.5703125" customWidth="1"/>
    <col min="5635" max="5635" width="13.42578125" customWidth="1"/>
    <col min="5637" max="5637" width="14.28515625" customWidth="1"/>
    <col min="5639" max="5639" width="14.140625" customWidth="1"/>
    <col min="5641" max="5641" width="13.5703125" customWidth="1"/>
    <col min="5643" max="5643" width="14.140625" customWidth="1"/>
    <col min="5645" max="5645" width="14.140625" customWidth="1"/>
    <col min="5646" max="5646" width="15.42578125" customWidth="1"/>
    <col min="5647" max="5647" width="13.140625" customWidth="1"/>
    <col min="5648" max="5648" width="14.140625" customWidth="1"/>
    <col min="5649" max="5649" width="24.140625" customWidth="1"/>
    <col min="5650" max="5650" width="12" customWidth="1"/>
    <col min="5651" max="5651" width="15" customWidth="1"/>
    <col min="5889" max="5889" width="14" customWidth="1"/>
    <col min="5890" max="5890" width="26.5703125" customWidth="1"/>
    <col min="5891" max="5891" width="13.42578125" customWidth="1"/>
    <col min="5893" max="5893" width="14.28515625" customWidth="1"/>
    <col min="5895" max="5895" width="14.140625" customWidth="1"/>
    <col min="5897" max="5897" width="13.5703125" customWidth="1"/>
    <col min="5899" max="5899" width="14.140625" customWidth="1"/>
    <col min="5901" max="5901" width="14.140625" customWidth="1"/>
    <col min="5902" max="5902" width="15.42578125" customWidth="1"/>
    <col min="5903" max="5903" width="13.140625" customWidth="1"/>
    <col min="5904" max="5904" width="14.140625" customWidth="1"/>
    <col min="5905" max="5905" width="24.140625" customWidth="1"/>
    <col min="5906" max="5906" width="12" customWidth="1"/>
    <col min="5907" max="5907" width="15" customWidth="1"/>
    <col min="6145" max="6145" width="14" customWidth="1"/>
    <col min="6146" max="6146" width="26.5703125" customWidth="1"/>
    <col min="6147" max="6147" width="13.42578125" customWidth="1"/>
    <col min="6149" max="6149" width="14.28515625" customWidth="1"/>
    <col min="6151" max="6151" width="14.140625" customWidth="1"/>
    <col min="6153" max="6153" width="13.5703125" customWidth="1"/>
    <col min="6155" max="6155" width="14.140625" customWidth="1"/>
    <col min="6157" max="6157" width="14.140625" customWidth="1"/>
    <col min="6158" max="6158" width="15.42578125" customWidth="1"/>
    <col min="6159" max="6159" width="13.140625" customWidth="1"/>
    <col min="6160" max="6160" width="14.140625" customWidth="1"/>
    <col min="6161" max="6161" width="24.140625" customWidth="1"/>
    <col min="6162" max="6162" width="12" customWidth="1"/>
    <col min="6163" max="6163" width="15" customWidth="1"/>
    <col min="6401" max="6401" width="14" customWidth="1"/>
    <col min="6402" max="6402" width="26.5703125" customWidth="1"/>
    <col min="6403" max="6403" width="13.42578125" customWidth="1"/>
    <col min="6405" max="6405" width="14.28515625" customWidth="1"/>
    <col min="6407" max="6407" width="14.140625" customWidth="1"/>
    <col min="6409" max="6409" width="13.5703125" customWidth="1"/>
    <col min="6411" max="6411" width="14.140625" customWidth="1"/>
    <col min="6413" max="6413" width="14.140625" customWidth="1"/>
    <col min="6414" max="6414" width="15.42578125" customWidth="1"/>
    <col min="6415" max="6415" width="13.140625" customWidth="1"/>
    <col min="6416" max="6416" width="14.140625" customWidth="1"/>
    <col min="6417" max="6417" width="24.140625" customWidth="1"/>
    <col min="6418" max="6418" width="12" customWidth="1"/>
    <col min="6419" max="6419" width="15" customWidth="1"/>
    <col min="6657" max="6657" width="14" customWidth="1"/>
    <col min="6658" max="6658" width="26.5703125" customWidth="1"/>
    <col min="6659" max="6659" width="13.42578125" customWidth="1"/>
    <col min="6661" max="6661" width="14.28515625" customWidth="1"/>
    <col min="6663" max="6663" width="14.140625" customWidth="1"/>
    <col min="6665" max="6665" width="13.5703125" customWidth="1"/>
    <col min="6667" max="6667" width="14.140625" customWidth="1"/>
    <col min="6669" max="6669" width="14.140625" customWidth="1"/>
    <col min="6670" max="6670" width="15.42578125" customWidth="1"/>
    <col min="6671" max="6671" width="13.140625" customWidth="1"/>
    <col min="6672" max="6672" width="14.140625" customWidth="1"/>
    <col min="6673" max="6673" width="24.140625" customWidth="1"/>
    <col min="6674" max="6674" width="12" customWidth="1"/>
    <col min="6675" max="6675" width="15" customWidth="1"/>
    <col min="6913" max="6913" width="14" customWidth="1"/>
    <col min="6914" max="6914" width="26.5703125" customWidth="1"/>
    <col min="6915" max="6915" width="13.42578125" customWidth="1"/>
    <col min="6917" max="6917" width="14.28515625" customWidth="1"/>
    <col min="6919" max="6919" width="14.140625" customWidth="1"/>
    <col min="6921" max="6921" width="13.5703125" customWidth="1"/>
    <col min="6923" max="6923" width="14.140625" customWidth="1"/>
    <col min="6925" max="6925" width="14.140625" customWidth="1"/>
    <col min="6926" max="6926" width="15.42578125" customWidth="1"/>
    <col min="6927" max="6927" width="13.140625" customWidth="1"/>
    <col min="6928" max="6928" width="14.140625" customWidth="1"/>
    <col min="6929" max="6929" width="24.140625" customWidth="1"/>
    <col min="6930" max="6930" width="12" customWidth="1"/>
    <col min="6931" max="6931" width="15" customWidth="1"/>
    <col min="7169" max="7169" width="14" customWidth="1"/>
    <col min="7170" max="7170" width="26.5703125" customWidth="1"/>
    <col min="7171" max="7171" width="13.42578125" customWidth="1"/>
    <col min="7173" max="7173" width="14.28515625" customWidth="1"/>
    <col min="7175" max="7175" width="14.140625" customWidth="1"/>
    <col min="7177" max="7177" width="13.5703125" customWidth="1"/>
    <col min="7179" max="7179" width="14.140625" customWidth="1"/>
    <col min="7181" max="7181" width="14.140625" customWidth="1"/>
    <col min="7182" max="7182" width="15.42578125" customWidth="1"/>
    <col min="7183" max="7183" width="13.140625" customWidth="1"/>
    <col min="7184" max="7184" width="14.140625" customWidth="1"/>
    <col min="7185" max="7185" width="24.140625" customWidth="1"/>
    <col min="7186" max="7186" width="12" customWidth="1"/>
    <col min="7187" max="7187" width="15" customWidth="1"/>
    <col min="7425" max="7425" width="14" customWidth="1"/>
    <col min="7426" max="7426" width="26.5703125" customWidth="1"/>
    <col min="7427" max="7427" width="13.42578125" customWidth="1"/>
    <col min="7429" max="7429" width="14.28515625" customWidth="1"/>
    <col min="7431" max="7431" width="14.140625" customWidth="1"/>
    <col min="7433" max="7433" width="13.5703125" customWidth="1"/>
    <col min="7435" max="7435" width="14.140625" customWidth="1"/>
    <col min="7437" max="7437" width="14.140625" customWidth="1"/>
    <col min="7438" max="7438" width="15.42578125" customWidth="1"/>
    <col min="7439" max="7439" width="13.140625" customWidth="1"/>
    <col min="7440" max="7440" width="14.140625" customWidth="1"/>
    <col min="7441" max="7441" width="24.140625" customWidth="1"/>
    <col min="7442" max="7442" width="12" customWidth="1"/>
    <col min="7443" max="7443" width="15" customWidth="1"/>
    <col min="7681" max="7681" width="14" customWidth="1"/>
    <col min="7682" max="7682" width="26.5703125" customWidth="1"/>
    <col min="7683" max="7683" width="13.42578125" customWidth="1"/>
    <col min="7685" max="7685" width="14.28515625" customWidth="1"/>
    <col min="7687" max="7687" width="14.140625" customWidth="1"/>
    <col min="7689" max="7689" width="13.5703125" customWidth="1"/>
    <col min="7691" max="7691" width="14.140625" customWidth="1"/>
    <col min="7693" max="7693" width="14.140625" customWidth="1"/>
    <col min="7694" max="7694" width="15.42578125" customWidth="1"/>
    <col min="7695" max="7695" width="13.140625" customWidth="1"/>
    <col min="7696" max="7696" width="14.140625" customWidth="1"/>
    <col min="7697" max="7697" width="24.140625" customWidth="1"/>
    <col min="7698" max="7698" width="12" customWidth="1"/>
    <col min="7699" max="7699" width="15" customWidth="1"/>
    <col min="7937" max="7937" width="14" customWidth="1"/>
    <col min="7938" max="7938" width="26.5703125" customWidth="1"/>
    <col min="7939" max="7939" width="13.42578125" customWidth="1"/>
    <col min="7941" max="7941" width="14.28515625" customWidth="1"/>
    <col min="7943" max="7943" width="14.140625" customWidth="1"/>
    <col min="7945" max="7945" width="13.5703125" customWidth="1"/>
    <col min="7947" max="7947" width="14.140625" customWidth="1"/>
    <col min="7949" max="7949" width="14.140625" customWidth="1"/>
    <col min="7950" max="7950" width="15.42578125" customWidth="1"/>
    <col min="7951" max="7951" width="13.140625" customWidth="1"/>
    <col min="7952" max="7952" width="14.140625" customWidth="1"/>
    <col min="7953" max="7953" width="24.140625" customWidth="1"/>
    <col min="7954" max="7954" width="12" customWidth="1"/>
    <col min="7955" max="7955" width="15" customWidth="1"/>
    <col min="8193" max="8193" width="14" customWidth="1"/>
    <col min="8194" max="8194" width="26.5703125" customWidth="1"/>
    <col min="8195" max="8195" width="13.42578125" customWidth="1"/>
    <col min="8197" max="8197" width="14.28515625" customWidth="1"/>
    <col min="8199" max="8199" width="14.140625" customWidth="1"/>
    <col min="8201" max="8201" width="13.5703125" customWidth="1"/>
    <col min="8203" max="8203" width="14.140625" customWidth="1"/>
    <col min="8205" max="8205" width="14.140625" customWidth="1"/>
    <col min="8206" max="8206" width="15.42578125" customWidth="1"/>
    <col min="8207" max="8207" width="13.140625" customWidth="1"/>
    <col min="8208" max="8208" width="14.140625" customWidth="1"/>
    <col min="8209" max="8209" width="24.140625" customWidth="1"/>
    <col min="8210" max="8210" width="12" customWidth="1"/>
    <col min="8211" max="8211" width="15" customWidth="1"/>
    <col min="8449" max="8449" width="14" customWidth="1"/>
    <col min="8450" max="8450" width="26.5703125" customWidth="1"/>
    <col min="8451" max="8451" width="13.42578125" customWidth="1"/>
    <col min="8453" max="8453" width="14.28515625" customWidth="1"/>
    <col min="8455" max="8455" width="14.140625" customWidth="1"/>
    <col min="8457" max="8457" width="13.5703125" customWidth="1"/>
    <col min="8459" max="8459" width="14.140625" customWidth="1"/>
    <col min="8461" max="8461" width="14.140625" customWidth="1"/>
    <col min="8462" max="8462" width="15.42578125" customWidth="1"/>
    <col min="8463" max="8463" width="13.140625" customWidth="1"/>
    <col min="8464" max="8464" width="14.140625" customWidth="1"/>
    <col min="8465" max="8465" width="24.140625" customWidth="1"/>
    <col min="8466" max="8466" width="12" customWidth="1"/>
    <col min="8467" max="8467" width="15" customWidth="1"/>
    <col min="8705" max="8705" width="14" customWidth="1"/>
    <col min="8706" max="8706" width="26.5703125" customWidth="1"/>
    <col min="8707" max="8707" width="13.42578125" customWidth="1"/>
    <col min="8709" max="8709" width="14.28515625" customWidth="1"/>
    <col min="8711" max="8711" width="14.140625" customWidth="1"/>
    <col min="8713" max="8713" width="13.5703125" customWidth="1"/>
    <col min="8715" max="8715" width="14.140625" customWidth="1"/>
    <col min="8717" max="8717" width="14.140625" customWidth="1"/>
    <col min="8718" max="8718" width="15.42578125" customWidth="1"/>
    <col min="8719" max="8719" width="13.140625" customWidth="1"/>
    <col min="8720" max="8720" width="14.140625" customWidth="1"/>
    <col min="8721" max="8721" width="24.140625" customWidth="1"/>
    <col min="8722" max="8722" width="12" customWidth="1"/>
    <col min="8723" max="8723" width="15" customWidth="1"/>
    <col min="8961" max="8961" width="14" customWidth="1"/>
    <col min="8962" max="8962" width="26.5703125" customWidth="1"/>
    <col min="8963" max="8963" width="13.42578125" customWidth="1"/>
    <col min="8965" max="8965" width="14.28515625" customWidth="1"/>
    <col min="8967" max="8967" width="14.140625" customWidth="1"/>
    <col min="8969" max="8969" width="13.5703125" customWidth="1"/>
    <col min="8971" max="8971" width="14.140625" customWidth="1"/>
    <col min="8973" max="8973" width="14.140625" customWidth="1"/>
    <col min="8974" max="8974" width="15.42578125" customWidth="1"/>
    <col min="8975" max="8975" width="13.140625" customWidth="1"/>
    <col min="8976" max="8976" width="14.140625" customWidth="1"/>
    <col min="8977" max="8977" width="24.140625" customWidth="1"/>
    <col min="8978" max="8978" width="12" customWidth="1"/>
    <col min="8979" max="8979" width="15" customWidth="1"/>
    <col min="9217" max="9217" width="14" customWidth="1"/>
    <col min="9218" max="9218" width="26.5703125" customWidth="1"/>
    <col min="9219" max="9219" width="13.42578125" customWidth="1"/>
    <col min="9221" max="9221" width="14.28515625" customWidth="1"/>
    <col min="9223" max="9223" width="14.140625" customWidth="1"/>
    <col min="9225" max="9225" width="13.5703125" customWidth="1"/>
    <col min="9227" max="9227" width="14.140625" customWidth="1"/>
    <col min="9229" max="9229" width="14.140625" customWidth="1"/>
    <col min="9230" max="9230" width="15.42578125" customWidth="1"/>
    <col min="9231" max="9231" width="13.140625" customWidth="1"/>
    <col min="9232" max="9232" width="14.140625" customWidth="1"/>
    <col min="9233" max="9233" width="24.140625" customWidth="1"/>
    <col min="9234" max="9234" width="12" customWidth="1"/>
    <col min="9235" max="9235" width="15" customWidth="1"/>
    <col min="9473" max="9473" width="14" customWidth="1"/>
    <col min="9474" max="9474" width="26.5703125" customWidth="1"/>
    <col min="9475" max="9475" width="13.42578125" customWidth="1"/>
    <col min="9477" max="9477" width="14.28515625" customWidth="1"/>
    <col min="9479" max="9479" width="14.140625" customWidth="1"/>
    <col min="9481" max="9481" width="13.5703125" customWidth="1"/>
    <col min="9483" max="9483" width="14.140625" customWidth="1"/>
    <col min="9485" max="9485" width="14.140625" customWidth="1"/>
    <col min="9486" max="9486" width="15.42578125" customWidth="1"/>
    <col min="9487" max="9487" width="13.140625" customWidth="1"/>
    <col min="9488" max="9488" width="14.140625" customWidth="1"/>
    <col min="9489" max="9489" width="24.140625" customWidth="1"/>
    <col min="9490" max="9490" width="12" customWidth="1"/>
    <col min="9491" max="9491" width="15" customWidth="1"/>
    <col min="9729" max="9729" width="14" customWidth="1"/>
    <col min="9730" max="9730" width="26.5703125" customWidth="1"/>
    <col min="9731" max="9731" width="13.42578125" customWidth="1"/>
    <col min="9733" max="9733" width="14.28515625" customWidth="1"/>
    <col min="9735" max="9735" width="14.140625" customWidth="1"/>
    <col min="9737" max="9737" width="13.5703125" customWidth="1"/>
    <col min="9739" max="9739" width="14.140625" customWidth="1"/>
    <col min="9741" max="9741" width="14.140625" customWidth="1"/>
    <col min="9742" max="9742" width="15.42578125" customWidth="1"/>
    <col min="9743" max="9743" width="13.140625" customWidth="1"/>
    <col min="9744" max="9744" width="14.140625" customWidth="1"/>
    <col min="9745" max="9745" width="24.140625" customWidth="1"/>
    <col min="9746" max="9746" width="12" customWidth="1"/>
    <col min="9747" max="9747" width="15" customWidth="1"/>
    <col min="9985" max="9985" width="14" customWidth="1"/>
    <col min="9986" max="9986" width="26.5703125" customWidth="1"/>
    <col min="9987" max="9987" width="13.42578125" customWidth="1"/>
    <col min="9989" max="9989" width="14.28515625" customWidth="1"/>
    <col min="9991" max="9991" width="14.140625" customWidth="1"/>
    <col min="9993" max="9993" width="13.5703125" customWidth="1"/>
    <col min="9995" max="9995" width="14.140625" customWidth="1"/>
    <col min="9997" max="9997" width="14.140625" customWidth="1"/>
    <col min="9998" max="9998" width="15.42578125" customWidth="1"/>
    <col min="9999" max="9999" width="13.140625" customWidth="1"/>
    <col min="10000" max="10000" width="14.140625" customWidth="1"/>
    <col min="10001" max="10001" width="24.140625" customWidth="1"/>
    <col min="10002" max="10002" width="12" customWidth="1"/>
    <col min="10003" max="10003" width="15" customWidth="1"/>
    <col min="10241" max="10241" width="14" customWidth="1"/>
    <col min="10242" max="10242" width="26.5703125" customWidth="1"/>
    <col min="10243" max="10243" width="13.42578125" customWidth="1"/>
    <col min="10245" max="10245" width="14.28515625" customWidth="1"/>
    <col min="10247" max="10247" width="14.140625" customWidth="1"/>
    <col min="10249" max="10249" width="13.5703125" customWidth="1"/>
    <col min="10251" max="10251" width="14.140625" customWidth="1"/>
    <col min="10253" max="10253" width="14.140625" customWidth="1"/>
    <col min="10254" max="10254" width="15.42578125" customWidth="1"/>
    <col min="10255" max="10255" width="13.140625" customWidth="1"/>
    <col min="10256" max="10256" width="14.140625" customWidth="1"/>
    <col min="10257" max="10257" width="24.140625" customWidth="1"/>
    <col min="10258" max="10258" width="12" customWidth="1"/>
    <col min="10259" max="10259" width="15" customWidth="1"/>
    <col min="10497" max="10497" width="14" customWidth="1"/>
    <col min="10498" max="10498" width="26.5703125" customWidth="1"/>
    <col min="10499" max="10499" width="13.42578125" customWidth="1"/>
    <col min="10501" max="10501" width="14.28515625" customWidth="1"/>
    <col min="10503" max="10503" width="14.140625" customWidth="1"/>
    <col min="10505" max="10505" width="13.5703125" customWidth="1"/>
    <col min="10507" max="10507" width="14.140625" customWidth="1"/>
    <col min="10509" max="10509" width="14.140625" customWidth="1"/>
    <col min="10510" max="10510" width="15.42578125" customWidth="1"/>
    <col min="10511" max="10511" width="13.140625" customWidth="1"/>
    <col min="10512" max="10512" width="14.140625" customWidth="1"/>
    <col min="10513" max="10513" width="24.140625" customWidth="1"/>
    <col min="10514" max="10514" width="12" customWidth="1"/>
    <col min="10515" max="10515" width="15" customWidth="1"/>
    <col min="10753" max="10753" width="14" customWidth="1"/>
    <col min="10754" max="10754" width="26.5703125" customWidth="1"/>
    <col min="10755" max="10755" width="13.42578125" customWidth="1"/>
    <col min="10757" max="10757" width="14.28515625" customWidth="1"/>
    <col min="10759" max="10759" width="14.140625" customWidth="1"/>
    <col min="10761" max="10761" width="13.5703125" customWidth="1"/>
    <col min="10763" max="10763" width="14.140625" customWidth="1"/>
    <col min="10765" max="10765" width="14.140625" customWidth="1"/>
    <col min="10766" max="10766" width="15.42578125" customWidth="1"/>
    <col min="10767" max="10767" width="13.140625" customWidth="1"/>
    <col min="10768" max="10768" width="14.140625" customWidth="1"/>
    <col min="10769" max="10769" width="24.140625" customWidth="1"/>
    <col min="10770" max="10770" width="12" customWidth="1"/>
    <col min="10771" max="10771" width="15" customWidth="1"/>
    <col min="11009" max="11009" width="14" customWidth="1"/>
    <col min="11010" max="11010" width="26.5703125" customWidth="1"/>
    <col min="11011" max="11011" width="13.42578125" customWidth="1"/>
    <col min="11013" max="11013" width="14.28515625" customWidth="1"/>
    <col min="11015" max="11015" width="14.140625" customWidth="1"/>
    <col min="11017" max="11017" width="13.5703125" customWidth="1"/>
    <col min="11019" max="11019" width="14.140625" customWidth="1"/>
    <col min="11021" max="11021" width="14.140625" customWidth="1"/>
    <col min="11022" max="11022" width="15.42578125" customWidth="1"/>
    <col min="11023" max="11023" width="13.140625" customWidth="1"/>
    <col min="11024" max="11024" width="14.140625" customWidth="1"/>
    <col min="11025" max="11025" width="24.140625" customWidth="1"/>
    <col min="11026" max="11026" width="12" customWidth="1"/>
    <col min="11027" max="11027" width="15" customWidth="1"/>
    <col min="11265" max="11265" width="14" customWidth="1"/>
    <col min="11266" max="11266" width="26.5703125" customWidth="1"/>
    <col min="11267" max="11267" width="13.42578125" customWidth="1"/>
    <col min="11269" max="11269" width="14.28515625" customWidth="1"/>
    <col min="11271" max="11271" width="14.140625" customWidth="1"/>
    <col min="11273" max="11273" width="13.5703125" customWidth="1"/>
    <col min="11275" max="11275" width="14.140625" customWidth="1"/>
    <col min="11277" max="11277" width="14.140625" customWidth="1"/>
    <col min="11278" max="11278" width="15.42578125" customWidth="1"/>
    <col min="11279" max="11279" width="13.140625" customWidth="1"/>
    <col min="11280" max="11280" width="14.140625" customWidth="1"/>
    <col min="11281" max="11281" width="24.140625" customWidth="1"/>
    <col min="11282" max="11282" width="12" customWidth="1"/>
    <col min="11283" max="11283" width="15" customWidth="1"/>
    <col min="11521" max="11521" width="14" customWidth="1"/>
    <col min="11522" max="11522" width="26.5703125" customWidth="1"/>
    <col min="11523" max="11523" width="13.42578125" customWidth="1"/>
    <col min="11525" max="11525" width="14.28515625" customWidth="1"/>
    <col min="11527" max="11527" width="14.140625" customWidth="1"/>
    <col min="11529" max="11529" width="13.5703125" customWidth="1"/>
    <col min="11531" max="11531" width="14.140625" customWidth="1"/>
    <col min="11533" max="11533" width="14.140625" customWidth="1"/>
    <col min="11534" max="11534" width="15.42578125" customWidth="1"/>
    <col min="11535" max="11535" width="13.140625" customWidth="1"/>
    <col min="11536" max="11536" width="14.140625" customWidth="1"/>
    <col min="11537" max="11537" width="24.140625" customWidth="1"/>
    <col min="11538" max="11538" width="12" customWidth="1"/>
    <col min="11539" max="11539" width="15" customWidth="1"/>
    <col min="11777" max="11777" width="14" customWidth="1"/>
    <col min="11778" max="11778" width="26.5703125" customWidth="1"/>
    <col min="11779" max="11779" width="13.42578125" customWidth="1"/>
    <col min="11781" max="11781" width="14.28515625" customWidth="1"/>
    <col min="11783" max="11783" width="14.140625" customWidth="1"/>
    <col min="11785" max="11785" width="13.5703125" customWidth="1"/>
    <col min="11787" max="11787" width="14.140625" customWidth="1"/>
    <col min="11789" max="11789" width="14.140625" customWidth="1"/>
    <col min="11790" max="11790" width="15.42578125" customWidth="1"/>
    <col min="11791" max="11791" width="13.140625" customWidth="1"/>
    <col min="11792" max="11792" width="14.140625" customWidth="1"/>
    <col min="11793" max="11793" width="24.140625" customWidth="1"/>
    <col min="11794" max="11794" width="12" customWidth="1"/>
    <col min="11795" max="11795" width="15" customWidth="1"/>
    <col min="12033" max="12033" width="14" customWidth="1"/>
    <col min="12034" max="12034" width="26.5703125" customWidth="1"/>
    <col min="12035" max="12035" width="13.42578125" customWidth="1"/>
    <col min="12037" max="12037" width="14.28515625" customWidth="1"/>
    <col min="12039" max="12039" width="14.140625" customWidth="1"/>
    <col min="12041" max="12041" width="13.5703125" customWidth="1"/>
    <col min="12043" max="12043" width="14.140625" customWidth="1"/>
    <col min="12045" max="12045" width="14.140625" customWidth="1"/>
    <col min="12046" max="12046" width="15.42578125" customWidth="1"/>
    <col min="12047" max="12047" width="13.140625" customWidth="1"/>
    <col min="12048" max="12048" width="14.140625" customWidth="1"/>
    <col min="12049" max="12049" width="24.140625" customWidth="1"/>
    <col min="12050" max="12050" width="12" customWidth="1"/>
    <col min="12051" max="12051" width="15" customWidth="1"/>
    <col min="12289" max="12289" width="14" customWidth="1"/>
    <col min="12290" max="12290" width="26.5703125" customWidth="1"/>
    <col min="12291" max="12291" width="13.42578125" customWidth="1"/>
    <col min="12293" max="12293" width="14.28515625" customWidth="1"/>
    <col min="12295" max="12295" width="14.140625" customWidth="1"/>
    <col min="12297" max="12297" width="13.5703125" customWidth="1"/>
    <col min="12299" max="12299" width="14.140625" customWidth="1"/>
    <col min="12301" max="12301" width="14.140625" customWidth="1"/>
    <col min="12302" max="12302" width="15.42578125" customWidth="1"/>
    <col min="12303" max="12303" width="13.140625" customWidth="1"/>
    <col min="12304" max="12304" width="14.140625" customWidth="1"/>
    <col min="12305" max="12305" width="24.140625" customWidth="1"/>
    <col min="12306" max="12306" width="12" customWidth="1"/>
    <col min="12307" max="12307" width="15" customWidth="1"/>
    <col min="12545" max="12545" width="14" customWidth="1"/>
    <col min="12546" max="12546" width="26.5703125" customWidth="1"/>
    <col min="12547" max="12547" width="13.42578125" customWidth="1"/>
    <col min="12549" max="12549" width="14.28515625" customWidth="1"/>
    <col min="12551" max="12551" width="14.140625" customWidth="1"/>
    <col min="12553" max="12553" width="13.5703125" customWidth="1"/>
    <col min="12555" max="12555" width="14.140625" customWidth="1"/>
    <col min="12557" max="12557" width="14.140625" customWidth="1"/>
    <col min="12558" max="12558" width="15.42578125" customWidth="1"/>
    <col min="12559" max="12559" width="13.140625" customWidth="1"/>
    <col min="12560" max="12560" width="14.140625" customWidth="1"/>
    <col min="12561" max="12561" width="24.140625" customWidth="1"/>
    <col min="12562" max="12562" width="12" customWidth="1"/>
    <col min="12563" max="12563" width="15" customWidth="1"/>
    <col min="12801" max="12801" width="14" customWidth="1"/>
    <col min="12802" max="12802" width="26.5703125" customWidth="1"/>
    <col min="12803" max="12803" width="13.42578125" customWidth="1"/>
    <col min="12805" max="12805" width="14.28515625" customWidth="1"/>
    <col min="12807" max="12807" width="14.140625" customWidth="1"/>
    <col min="12809" max="12809" width="13.5703125" customWidth="1"/>
    <col min="12811" max="12811" width="14.140625" customWidth="1"/>
    <col min="12813" max="12813" width="14.140625" customWidth="1"/>
    <col min="12814" max="12814" width="15.42578125" customWidth="1"/>
    <col min="12815" max="12815" width="13.140625" customWidth="1"/>
    <col min="12816" max="12816" width="14.140625" customWidth="1"/>
    <col min="12817" max="12817" width="24.140625" customWidth="1"/>
    <col min="12818" max="12818" width="12" customWidth="1"/>
    <col min="12819" max="12819" width="15" customWidth="1"/>
    <col min="13057" max="13057" width="14" customWidth="1"/>
    <col min="13058" max="13058" width="26.5703125" customWidth="1"/>
    <col min="13059" max="13059" width="13.42578125" customWidth="1"/>
    <col min="13061" max="13061" width="14.28515625" customWidth="1"/>
    <col min="13063" max="13063" width="14.140625" customWidth="1"/>
    <col min="13065" max="13065" width="13.5703125" customWidth="1"/>
    <col min="13067" max="13067" width="14.140625" customWidth="1"/>
    <col min="13069" max="13069" width="14.140625" customWidth="1"/>
    <col min="13070" max="13070" width="15.42578125" customWidth="1"/>
    <col min="13071" max="13071" width="13.140625" customWidth="1"/>
    <col min="13072" max="13072" width="14.140625" customWidth="1"/>
    <col min="13073" max="13073" width="24.140625" customWidth="1"/>
    <col min="13074" max="13074" width="12" customWidth="1"/>
    <col min="13075" max="13075" width="15" customWidth="1"/>
    <col min="13313" max="13313" width="14" customWidth="1"/>
    <col min="13314" max="13314" width="26.5703125" customWidth="1"/>
    <col min="13315" max="13315" width="13.42578125" customWidth="1"/>
    <col min="13317" max="13317" width="14.28515625" customWidth="1"/>
    <col min="13319" max="13319" width="14.140625" customWidth="1"/>
    <col min="13321" max="13321" width="13.5703125" customWidth="1"/>
    <col min="13323" max="13323" width="14.140625" customWidth="1"/>
    <col min="13325" max="13325" width="14.140625" customWidth="1"/>
    <col min="13326" max="13326" width="15.42578125" customWidth="1"/>
    <col min="13327" max="13327" width="13.140625" customWidth="1"/>
    <col min="13328" max="13328" width="14.140625" customWidth="1"/>
    <col min="13329" max="13329" width="24.140625" customWidth="1"/>
    <col min="13330" max="13330" width="12" customWidth="1"/>
    <col min="13331" max="13331" width="15" customWidth="1"/>
    <col min="13569" max="13569" width="14" customWidth="1"/>
    <col min="13570" max="13570" width="26.5703125" customWidth="1"/>
    <col min="13571" max="13571" width="13.42578125" customWidth="1"/>
    <col min="13573" max="13573" width="14.28515625" customWidth="1"/>
    <col min="13575" max="13575" width="14.140625" customWidth="1"/>
    <col min="13577" max="13577" width="13.5703125" customWidth="1"/>
    <col min="13579" max="13579" width="14.140625" customWidth="1"/>
    <col min="13581" max="13581" width="14.140625" customWidth="1"/>
    <col min="13582" max="13582" width="15.42578125" customWidth="1"/>
    <col min="13583" max="13583" width="13.140625" customWidth="1"/>
    <col min="13584" max="13584" width="14.140625" customWidth="1"/>
    <col min="13585" max="13585" width="24.140625" customWidth="1"/>
    <col min="13586" max="13586" width="12" customWidth="1"/>
    <col min="13587" max="13587" width="15" customWidth="1"/>
    <col min="13825" max="13825" width="14" customWidth="1"/>
    <col min="13826" max="13826" width="26.5703125" customWidth="1"/>
    <col min="13827" max="13827" width="13.42578125" customWidth="1"/>
    <col min="13829" max="13829" width="14.28515625" customWidth="1"/>
    <col min="13831" max="13831" width="14.140625" customWidth="1"/>
    <col min="13833" max="13833" width="13.5703125" customWidth="1"/>
    <col min="13835" max="13835" width="14.140625" customWidth="1"/>
    <col min="13837" max="13837" width="14.140625" customWidth="1"/>
    <col min="13838" max="13838" width="15.42578125" customWidth="1"/>
    <col min="13839" max="13839" width="13.140625" customWidth="1"/>
    <col min="13840" max="13840" width="14.140625" customWidth="1"/>
    <col min="13841" max="13841" width="24.140625" customWidth="1"/>
    <col min="13842" max="13842" width="12" customWidth="1"/>
    <col min="13843" max="13843" width="15" customWidth="1"/>
    <col min="14081" max="14081" width="14" customWidth="1"/>
    <col min="14082" max="14082" width="26.5703125" customWidth="1"/>
    <col min="14083" max="14083" width="13.42578125" customWidth="1"/>
    <col min="14085" max="14085" width="14.28515625" customWidth="1"/>
    <col min="14087" max="14087" width="14.140625" customWidth="1"/>
    <col min="14089" max="14089" width="13.5703125" customWidth="1"/>
    <col min="14091" max="14091" width="14.140625" customWidth="1"/>
    <col min="14093" max="14093" width="14.140625" customWidth="1"/>
    <col min="14094" max="14094" width="15.42578125" customWidth="1"/>
    <col min="14095" max="14095" width="13.140625" customWidth="1"/>
    <col min="14096" max="14096" width="14.140625" customWidth="1"/>
    <col min="14097" max="14097" width="24.140625" customWidth="1"/>
    <col min="14098" max="14098" width="12" customWidth="1"/>
    <col min="14099" max="14099" width="15" customWidth="1"/>
    <col min="14337" max="14337" width="14" customWidth="1"/>
    <col min="14338" max="14338" width="26.5703125" customWidth="1"/>
    <col min="14339" max="14339" width="13.42578125" customWidth="1"/>
    <col min="14341" max="14341" width="14.28515625" customWidth="1"/>
    <col min="14343" max="14343" width="14.140625" customWidth="1"/>
    <col min="14345" max="14345" width="13.5703125" customWidth="1"/>
    <col min="14347" max="14347" width="14.140625" customWidth="1"/>
    <col min="14349" max="14349" width="14.140625" customWidth="1"/>
    <col min="14350" max="14350" width="15.42578125" customWidth="1"/>
    <col min="14351" max="14351" width="13.140625" customWidth="1"/>
    <col min="14352" max="14352" width="14.140625" customWidth="1"/>
    <col min="14353" max="14353" width="24.140625" customWidth="1"/>
    <col min="14354" max="14354" width="12" customWidth="1"/>
    <col min="14355" max="14355" width="15" customWidth="1"/>
    <col min="14593" max="14593" width="14" customWidth="1"/>
    <col min="14594" max="14594" width="26.5703125" customWidth="1"/>
    <col min="14595" max="14595" width="13.42578125" customWidth="1"/>
    <col min="14597" max="14597" width="14.28515625" customWidth="1"/>
    <col min="14599" max="14599" width="14.140625" customWidth="1"/>
    <col min="14601" max="14601" width="13.5703125" customWidth="1"/>
    <col min="14603" max="14603" width="14.140625" customWidth="1"/>
    <col min="14605" max="14605" width="14.140625" customWidth="1"/>
    <col min="14606" max="14606" width="15.42578125" customWidth="1"/>
    <col min="14607" max="14607" width="13.140625" customWidth="1"/>
    <col min="14608" max="14608" width="14.140625" customWidth="1"/>
    <col min="14609" max="14609" width="24.140625" customWidth="1"/>
    <col min="14610" max="14610" width="12" customWidth="1"/>
    <col min="14611" max="14611" width="15" customWidth="1"/>
    <col min="14849" max="14849" width="14" customWidth="1"/>
    <col min="14850" max="14850" width="26.5703125" customWidth="1"/>
    <col min="14851" max="14851" width="13.42578125" customWidth="1"/>
    <col min="14853" max="14853" width="14.28515625" customWidth="1"/>
    <col min="14855" max="14855" width="14.140625" customWidth="1"/>
    <col min="14857" max="14857" width="13.5703125" customWidth="1"/>
    <col min="14859" max="14859" width="14.140625" customWidth="1"/>
    <col min="14861" max="14861" width="14.140625" customWidth="1"/>
    <col min="14862" max="14862" width="15.42578125" customWidth="1"/>
    <col min="14863" max="14863" width="13.140625" customWidth="1"/>
    <col min="14864" max="14864" width="14.140625" customWidth="1"/>
    <col min="14865" max="14865" width="24.140625" customWidth="1"/>
    <col min="14866" max="14866" width="12" customWidth="1"/>
    <col min="14867" max="14867" width="15" customWidth="1"/>
    <col min="15105" max="15105" width="14" customWidth="1"/>
    <col min="15106" max="15106" width="26.5703125" customWidth="1"/>
    <col min="15107" max="15107" width="13.42578125" customWidth="1"/>
    <col min="15109" max="15109" width="14.28515625" customWidth="1"/>
    <col min="15111" max="15111" width="14.140625" customWidth="1"/>
    <col min="15113" max="15113" width="13.5703125" customWidth="1"/>
    <col min="15115" max="15115" width="14.140625" customWidth="1"/>
    <col min="15117" max="15117" width="14.140625" customWidth="1"/>
    <col min="15118" max="15118" width="15.42578125" customWidth="1"/>
    <col min="15119" max="15119" width="13.140625" customWidth="1"/>
    <col min="15120" max="15120" width="14.140625" customWidth="1"/>
    <col min="15121" max="15121" width="24.140625" customWidth="1"/>
    <col min="15122" max="15122" width="12" customWidth="1"/>
    <col min="15123" max="15123" width="15" customWidth="1"/>
    <col min="15361" max="15361" width="14" customWidth="1"/>
    <col min="15362" max="15362" width="26.5703125" customWidth="1"/>
    <col min="15363" max="15363" width="13.42578125" customWidth="1"/>
    <col min="15365" max="15365" width="14.28515625" customWidth="1"/>
    <col min="15367" max="15367" width="14.140625" customWidth="1"/>
    <col min="15369" max="15369" width="13.5703125" customWidth="1"/>
    <col min="15371" max="15371" width="14.140625" customWidth="1"/>
    <col min="15373" max="15373" width="14.140625" customWidth="1"/>
    <col min="15374" max="15374" width="15.42578125" customWidth="1"/>
    <col min="15375" max="15375" width="13.140625" customWidth="1"/>
    <col min="15376" max="15376" width="14.140625" customWidth="1"/>
    <col min="15377" max="15377" width="24.140625" customWidth="1"/>
    <col min="15378" max="15378" width="12" customWidth="1"/>
    <col min="15379" max="15379" width="15" customWidth="1"/>
    <col min="15617" max="15617" width="14" customWidth="1"/>
    <col min="15618" max="15618" width="26.5703125" customWidth="1"/>
    <col min="15619" max="15619" width="13.42578125" customWidth="1"/>
    <col min="15621" max="15621" width="14.28515625" customWidth="1"/>
    <col min="15623" max="15623" width="14.140625" customWidth="1"/>
    <col min="15625" max="15625" width="13.5703125" customWidth="1"/>
    <col min="15627" max="15627" width="14.140625" customWidth="1"/>
    <col min="15629" max="15629" width="14.140625" customWidth="1"/>
    <col min="15630" max="15630" width="15.42578125" customWidth="1"/>
    <col min="15631" max="15631" width="13.140625" customWidth="1"/>
    <col min="15632" max="15632" width="14.140625" customWidth="1"/>
    <col min="15633" max="15633" width="24.140625" customWidth="1"/>
    <col min="15634" max="15634" width="12" customWidth="1"/>
    <col min="15635" max="15635" width="15" customWidth="1"/>
    <col min="15873" max="15873" width="14" customWidth="1"/>
    <col min="15874" max="15874" width="26.5703125" customWidth="1"/>
    <col min="15875" max="15875" width="13.42578125" customWidth="1"/>
    <col min="15877" max="15877" width="14.28515625" customWidth="1"/>
    <col min="15879" max="15879" width="14.140625" customWidth="1"/>
    <col min="15881" max="15881" width="13.5703125" customWidth="1"/>
    <col min="15883" max="15883" width="14.140625" customWidth="1"/>
    <col min="15885" max="15885" width="14.140625" customWidth="1"/>
    <col min="15886" max="15886" width="15.42578125" customWidth="1"/>
    <col min="15887" max="15887" width="13.140625" customWidth="1"/>
    <col min="15888" max="15888" width="14.140625" customWidth="1"/>
    <col min="15889" max="15889" width="24.140625" customWidth="1"/>
    <col min="15890" max="15890" width="12" customWidth="1"/>
    <col min="15891" max="15891" width="15" customWidth="1"/>
    <col min="16129" max="16129" width="14" customWidth="1"/>
    <col min="16130" max="16130" width="26.5703125" customWidth="1"/>
    <col min="16131" max="16131" width="13.42578125" customWidth="1"/>
    <col min="16133" max="16133" width="14.28515625" customWidth="1"/>
    <col min="16135" max="16135" width="14.140625" customWidth="1"/>
    <col min="16137" max="16137" width="13.5703125" customWidth="1"/>
    <col min="16139" max="16139" width="14.140625" customWidth="1"/>
    <col min="16141" max="16141" width="14.140625" customWidth="1"/>
    <col min="16142" max="16142" width="15.42578125" customWidth="1"/>
    <col min="16143" max="16143" width="13.140625" customWidth="1"/>
    <col min="16144" max="16144" width="14.140625" customWidth="1"/>
    <col min="16145" max="16145" width="24.140625" customWidth="1"/>
    <col min="16146" max="16146" width="12" customWidth="1"/>
    <col min="16147" max="16147" width="1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14</v>
      </c>
      <c r="B6">
        <v>32</v>
      </c>
      <c r="C6">
        <v>919.71165999999994</v>
      </c>
      <c r="D6">
        <v>9</v>
      </c>
      <c r="E6">
        <v>799.27273999999989</v>
      </c>
      <c r="F6">
        <v>18</v>
      </c>
      <c r="G6">
        <v>298.39515999999998</v>
      </c>
      <c r="H6">
        <v>31</v>
      </c>
      <c r="I6">
        <v>111.286294</v>
      </c>
      <c r="J6">
        <v>56</v>
      </c>
      <c r="K6">
        <v>44.010889999999996</v>
      </c>
      <c r="L6">
        <v>50</v>
      </c>
      <c r="M6">
        <v>19.093115999999998</v>
      </c>
      <c r="N6">
        <v>38</v>
      </c>
      <c r="O6">
        <v>8.6504306</v>
      </c>
      <c r="P6" s="3">
        <f>(B6*C6)+(D6*E6)+(F6*G6)+(H6*I6)+(J6*K6)+(L6*M6)+(N6*O6)</f>
        <v>49193.1977768</v>
      </c>
    </row>
    <row r="7" spans="1:19" x14ac:dyDescent="0.2">
      <c r="A7">
        <v>20000</v>
      </c>
      <c r="B7">
        <v>44</v>
      </c>
      <c r="C7">
        <v>919.71165999999994</v>
      </c>
      <c r="D7">
        <v>30</v>
      </c>
      <c r="E7">
        <v>799.27273999999989</v>
      </c>
      <c r="F7">
        <v>83</v>
      </c>
      <c r="G7">
        <v>298.39515999999998</v>
      </c>
      <c r="H7">
        <v>182</v>
      </c>
      <c r="I7">
        <v>111.286294</v>
      </c>
      <c r="J7">
        <v>290</v>
      </c>
      <c r="K7">
        <v>44.010889999999996</v>
      </c>
      <c r="L7">
        <v>242</v>
      </c>
      <c r="M7">
        <v>19.093115999999998</v>
      </c>
      <c r="N7">
        <v>208</v>
      </c>
      <c r="O7">
        <v>8.6504306</v>
      </c>
      <c r="P7" s="3">
        <f t="shared" ref="P7:P24" si="0">(B7*C7)+(D7*E7)+(F7*G7)+(H7*I7)+(J7*K7)+(L7*M7)+(N7*O7)</f>
        <v>128649.38076479998</v>
      </c>
    </row>
    <row r="8" spans="1:19" x14ac:dyDescent="0.2">
      <c r="A8">
        <v>30000</v>
      </c>
      <c r="B8">
        <v>15</v>
      </c>
      <c r="C8">
        <v>919.71165999999994</v>
      </c>
      <c r="D8">
        <v>17</v>
      </c>
      <c r="E8">
        <v>799.27273999999989</v>
      </c>
      <c r="F8">
        <v>56</v>
      </c>
      <c r="G8">
        <v>298.39515999999998</v>
      </c>
      <c r="H8">
        <v>121</v>
      </c>
      <c r="I8">
        <v>111.286294</v>
      </c>
      <c r="J8">
        <v>201</v>
      </c>
      <c r="K8">
        <v>44.010889999999996</v>
      </c>
      <c r="L8">
        <v>203</v>
      </c>
      <c r="M8">
        <v>19.093115999999998</v>
      </c>
      <c r="N8">
        <v>186</v>
      </c>
      <c r="O8">
        <v>8.6504306</v>
      </c>
      <c r="P8" s="3">
        <f t="shared" si="0"/>
        <v>71890.153543599983</v>
      </c>
    </row>
    <row r="9" spans="1:19" x14ac:dyDescent="0.2">
      <c r="A9">
        <v>40000</v>
      </c>
      <c r="B9">
        <v>11</v>
      </c>
      <c r="C9">
        <v>919.71165999999994</v>
      </c>
      <c r="D9">
        <v>15</v>
      </c>
      <c r="E9">
        <v>799.27273999999989</v>
      </c>
      <c r="F9">
        <v>57</v>
      </c>
      <c r="G9">
        <v>298.39515999999998</v>
      </c>
      <c r="H9">
        <v>144</v>
      </c>
      <c r="I9">
        <v>111.286294</v>
      </c>
      <c r="J9">
        <v>266</v>
      </c>
      <c r="K9">
        <v>44.010889999999996</v>
      </c>
      <c r="L9">
        <v>260</v>
      </c>
      <c r="M9">
        <v>19.093115999999998</v>
      </c>
      <c r="N9">
        <v>237</v>
      </c>
      <c r="O9">
        <v>8.6504306</v>
      </c>
      <c r="P9" s="3">
        <f t="shared" si="0"/>
        <v>73860.928768199999</v>
      </c>
    </row>
    <row r="10" spans="1:19" x14ac:dyDescent="0.2">
      <c r="A10">
        <v>50000</v>
      </c>
      <c r="B10">
        <v>15</v>
      </c>
      <c r="C10">
        <v>919.71165999999994</v>
      </c>
      <c r="D10">
        <v>11</v>
      </c>
      <c r="E10">
        <v>799.27273999999989</v>
      </c>
      <c r="F10">
        <v>46</v>
      </c>
      <c r="G10">
        <v>298.39515999999998</v>
      </c>
      <c r="H10">
        <v>106</v>
      </c>
      <c r="I10">
        <v>111.286294</v>
      </c>
      <c r="J10">
        <v>242</v>
      </c>
      <c r="K10">
        <v>44.010889999999996</v>
      </c>
      <c r="L10">
        <v>256</v>
      </c>
      <c r="M10">
        <v>19.093115999999998</v>
      </c>
      <c r="N10">
        <v>211</v>
      </c>
      <c r="O10">
        <v>8.6504306</v>
      </c>
      <c r="P10" s="3">
        <f t="shared" si="0"/>
        <v>65473.913496599998</v>
      </c>
    </row>
    <row r="11" spans="1:19" x14ac:dyDescent="0.2">
      <c r="A11">
        <v>60000</v>
      </c>
      <c r="B11">
        <v>1</v>
      </c>
      <c r="C11">
        <v>919.71165999999994</v>
      </c>
      <c r="D11">
        <v>5</v>
      </c>
      <c r="E11">
        <v>799.27273999999989</v>
      </c>
      <c r="F11">
        <v>41</v>
      </c>
      <c r="G11">
        <v>298.39515999999998</v>
      </c>
      <c r="H11">
        <v>89</v>
      </c>
      <c r="I11">
        <v>111.286294</v>
      </c>
      <c r="J11">
        <v>201</v>
      </c>
      <c r="K11">
        <v>44.010889999999996</v>
      </c>
      <c r="L11">
        <v>188</v>
      </c>
      <c r="M11">
        <v>19.093115999999998</v>
      </c>
      <c r="N11">
        <v>158</v>
      </c>
      <c r="O11">
        <v>8.6504306</v>
      </c>
      <c r="P11" s="3">
        <f t="shared" si="0"/>
        <v>40857.219818799997</v>
      </c>
      <c r="Q11" s="3">
        <f t="shared" ref="Q11:Q22" si="1">Q12+P11</f>
        <v>206031.76437199998</v>
      </c>
      <c r="R11">
        <v>4227242</v>
      </c>
      <c r="S11" s="21">
        <f t="shared" ref="S11:S23" si="2">(Q11/R11)*100</f>
        <v>4.8739051223469101</v>
      </c>
    </row>
    <row r="12" spans="1:19" x14ac:dyDescent="0.2">
      <c r="A12">
        <v>70000</v>
      </c>
      <c r="B12">
        <v>4</v>
      </c>
      <c r="C12">
        <v>919.71165999999994</v>
      </c>
      <c r="D12">
        <v>6</v>
      </c>
      <c r="E12">
        <v>799.27273999999989</v>
      </c>
      <c r="F12">
        <v>19</v>
      </c>
      <c r="G12">
        <v>298.39515999999998</v>
      </c>
      <c r="H12">
        <v>76</v>
      </c>
      <c r="I12">
        <v>111.286294</v>
      </c>
      <c r="J12">
        <v>159</v>
      </c>
      <c r="K12">
        <v>44.010889999999996</v>
      </c>
      <c r="L12">
        <v>172</v>
      </c>
      <c r="M12">
        <v>19.093115999999998</v>
      </c>
      <c r="N12">
        <v>127</v>
      </c>
      <c r="O12">
        <v>8.6504306</v>
      </c>
      <c r="P12" s="3">
        <f t="shared" si="0"/>
        <v>33982.1016122</v>
      </c>
      <c r="Q12" s="3">
        <f t="shared" si="1"/>
        <v>165174.54455319999</v>
      </c>
      <c r="R12">
        <v>4227242</v>
      </c>
      <c r="S12" s="21">
        <f t="shared" si="2"/>
        <v>3.9073832194418956</v>
      </c>
    </row>
    <row r="13" spans="1:19" x14ac:dyDescent="0.2">
      <c r="A13">
        <v>80000</v>
      </c>
      <c r="B13">
        <v>2</v>
      </c>
      <c r="C13">
        <v>919.71165999999994</v>
      </c>
      <c r="D13">
        <v>5</v>
      </c>
      <c r="E13">
        <v>799.27273999999989</v>
      </c>
      <c r="F13">
        <v>19</v>
      </c>
      <c r="G13">
        <v>298.39515999999998</v>
      </c>
      <c r="H13">
        <v>43</v>
      </c>
      <c r="I13">
        <v>111.286294</v>
      </c>
      <c r="J13">
        <v>123</v>
      </c>
      <c r="K13">
        <v>44.010889999999996</v>
      </c>
      <c r="L13">
        <v>113</v>
      </c>
      <c r="M13">
        <v>19.093115999999998</v>
      </c>
      <c r="N13">
        <v>94</v>
      </c>
      <c r="O13">
        <v>8.6504306</v>
      </c>
      <c r="P13" s="3">
        <f t="shared" si="0"/>
        <v>24674.607756400001</v>
      </c>
      <c r="Q13" s="3">
        <f t="shared" si="1"/>
        <v>131192.44294099999</v>
      </c>
      <c r="R13">
        <v>4227242</v>
      </c>
      <c r="S13" s="21">
        <f t="shared" si="2"/>
        <v>3.1034997036128988</v>
      </c>
    </row>
    <row r="14" spans="1:19" x14ac:dyDescent="0.2">
      <c r="A14">
        <v>90000</v>
      </c>
      <c r="B14">
        <v>1</v>
      </c>
      <c r="C14">
        <v>919.71165999999994</v>
      </c>
      <c r="D14">
        <v>5</v>
      </c>
      <c r="E14">
        <v>799.27273999999989</v>
      </c>
      <c r="F14">
        <v>11</v>
      </c>
      <c r="G14">
        <v>298.39515999999998</v>
      </c>
      <c r="H14">
        <v>34</v>
      </c>
      <c r="I14">
        <v>111.286294</v>
      </c>
      <c r="J14">
        <v>97</v>
      </c>
      <c r="K14">
        <v>44.010889999999996</v>
      </c>
      <c r="L14">
        <v>102</v>
      </c>
      <c r="M14">
        <v>19.093115999999998</v>
      </c>
      <c r="N14">
        <v>74</v>
      </c>
      <c r="O14">
        <v>8.6504306</v>
      </c>
      <c r="P14" s="3">
        <f t="shared" si="0"/>
        <v>18838.842142399997</v>
      </c>
      <c r="Q14" s="3">
        <f t="shared" si="1"/>
        <v>106517.83518459999</v>
      </c>
      <c r="R14">
        <v>4227242</v>
      </c>
      <c r="S14" s="21">
        <f t="shared" si="2"/>
        <v>2.5197950622320651</v>
      </c>
    </row>
    <row r="15" spans="1:19" x14ac:dyDescent="0.2">
      <c r="A15">
        <v>100000</v>
      </c>
      <c r="B15">
        <v>2</v>
      </c>
      <c r="C15">
        <v>919.71165999999994</v>
      </c>
      <c r="D15">
        <v>3</v>
      </c>
      <c r="E15">
        <v>799.27273999999989</v>
      </c>
      <c r="F15">
        <v>20</v>
      </c>
      <c r="G15">
        <v>298.39515999999998</v>
      </c>
      <c r="H15">
        <v>52</v>
      </c>
      <c r="I15">
        <v>111.286294</v>
      </c>
      <c r="J15">
        <v>119</v>
      </c>
      <c r="K15">
        <v>44.010889999999996</v>
      </c>
      <c r="L15">
        <v>144</v>
      </c>
      <c r="M15">
        <v>19.093115999999998</v>
      </c>
      <c r="N15">
        <v>118</v>
      </c>
      <c r="O15">
        <v>8.6504306</v>
      </c>
      <c r="P15" s="3">
        <f t="shared" si="0"/>
        <v>24999.4874528</v>
      </c>
      <c r="Q15" s="3">
        <f t="shared" si="1"/>
        <v>87678.993042199989</v>
      </c>
      <c r="R15">
        <v>4227242</v>
      </c>
      <c r="S15" s="21">
        <f t="shared" si="2"/>
        <v>2.0741417936848654</v>
      </c>
    </row>
    <row r="16" spans="1:19" x14ac:dyDescent="0.2">
      <c r="A16">
        <v>120000</v>
      </c>
      <c r="B16">
        <v>2</v>
      </c>
      <c r="C16">
        <v>919.71165999999994</v>
      </c>
      <c r="D16">
        <v>2</v>
      </c>
      <c r="E16">
        <v>799.27273999999989</v>
      </c>
      <c r="F16">
        <v>16</v>
      </c>
      <c r="G16">
        <v>298.39515999999998</v>
      </c>
      <c r="H16">
        <v>44</v>
      </c>
      <c r="I16">
        <v>111.286294</v>
      </c>
      <c r="J16">
        <v>87</v>
      </c>
      <c r="K16">
        <v>44.010889999999996</v>
      </c>
      <c r="L16">
        <v>87</v>
      </c>
      <c r="M16">
        <v>19.093115999999998</v>
      </c>
      <c r="N16">
        <v>46</v>
      </c>
      <c r="O16">
        <v>8.6504306</v>
      </c>
      <c r="P16" s="3">
        <f t="shared" si="0"/>
        <v>18996.856625599998</v>
      </c>
      <c r="Q16" s="3">
        <f t="shared" si="1"/>
        <v>62679.505589399989</v>
      </c>
      <c r="R16">
        <v>4227242</v>
      </c>
      <c r="S16" s="21">
        <f t="shared" si="2"/>
        <v>1.4827517702889967</v>
      </c>
    </row>
    <row r="17" spans="1:19" x14ac:dyDescent="0.2">
      <c r="A17">
        <v>140000</v>
      </c>
      <c r="B17">
        <v>1</v>
      </c>
      <c r="C17">
        <v>919.71165999999994</v>
      </c>
      <c r="D17">
        <v>4</v>
      </c>
      <c r="E17">
        <v>799.27273999999989</v>
      </c>
      <c r="F17">
        <v>10</v>
      </c>
      <c r="G17">
        <v>298.39515999999998</v>
      </c>
      <c r="H17">
        <v>17</v>
      </c>
      <c r="I17">
        <v>111.286294</v>
      </c>
      <c r="J17">
        <v>56</v>
      </c>
      <c r="K17">
        <v>44.010889999999996</v>
      </c>
      <c r="L17">
        <v>78</v>
      </c>
      <c r="M17">
        <v>19.093115999999998</v>
      </c>
      <c r="N17">
        <v>33</v>
      </c>
      <c r="O17">
        <v>8.6504306</v>
      </c>
      <c r="P17" s="3">
        <f t="shared" si="0"/>
        <v>13231.958315799999</v>
      </c>
      <c r="Q17" s="3">
        <f t="shared" si="1"/>
        <v>43682.648963799991</v>
      </c>
      <c r="R17">
        <v>4227242</v>
      </c>
      <c r="S17" s="21">
        <f t="shared" si="2"/>
        <v>1.0333604975489927</v>
      </c>
    </row>
    <row r="18" spans="1:19" x14ac:dyDescent="0.2">
      <c r="A18">
        <v>160000</v>
      </c>
      <c r="B18">
        <v>0</v>
      </c>
      <c r="C18">
        <v>919.71165999999994</v>
      </c>
      <c r="D18">
        <v>1</v>
      </c>
      <c r="E18">
        <v>799.27273999999989</v>
      </c>
      <c r="F18">
        <v>7</v>
      </c>
      <c r="G18">
        <v>298.39515999999998</v>
      </c>
      <c r="H18">
        <v>16</v>
      </c>
      <c r="I18">
        <v>111.286294</v>
      </c>
      <c r="J18">
        <v>37</v>
      </c>
      <c r="K18">
        <v>44.010889999999996</v>
      </c>
      <c r="L18">
        <v>37</v>
      </c>
      <c r="M18">
        <v>19.093115999999998</v>
      </c>
      <c r="N18">
        <v>35</v>
      </c>
      <c r="O18">
        <v>8.6504306</v>
      </c>
      <c r="P18" s="3">
        <f t="shared" si="0"/>
        <v>7306.232857</v>
      </c>
      <c r="Q18" s="3">
        <f t="shared" si="1"/>
        <v>30450.690647999996</v>
      </c>
      <c r="R18">
        <v>4227242</v>
      </c>
      <c r="S18" s="21">
        <f t="shared" si="2"/>
        <v>0.7203441546048226</v>
      </c>
    </row>
    <row r="19" spans="1:19" x14ac:dyDescent="0.2">
      <c r="A19">
        <v>180000</v>
      </c>
      <c r="B19">
        <v>0</v>
      </c>
      <c r="C19">
        <v>919.71165999999994</v>
      </c>
      <c r="D19">
        <v>0</v>
      </c>
      <c r="E19">
        <v>799.27273999999989</v>
      </c>
      <c r="F19">
        <v>2</v>
      </c>
      <c r="G19">
        <v>298.39515999999998</v>
      </c>
      <c r="H19">
        <v>10</v>
      </c>
      <c r="I19">
        <v>111.286294</v>
      </c>
      <c r="J19">
        <v>26</v>
      </c>
      <c r="K19">
        <v>44.010889999999996</v>
      </c>
      <c r="L19">
        <v>36</v>
      </c>
      <c r="M19">
        <v>19.093115999999998</v>
      </c>
      <c r="N19">
        <v>35</v>
      </c>
      <c r="O19">
        <v>8.6504306</v>
      </c>
      <c r="P19" s="3">
        <f t="shared" si="0"/>
        <v>3844.0536469999997</v>
      </c>
      <c r="Q19" s="3">
        <f t="shared" si="1"/>
        <v>23144.457790999997</v>
      </c>
      <c r="R19">
        <v>4227242</v>
      </c>
      <c r="S19" s="21">
        <f t="shared" si="2"/>
        <v>0.54750728231314871</v>
      </c>
    </row>
    <row r="20" spans="1:19" x14ac:dyDescent="0.2">
      <c r="A20">
        <v>200000</v>
      </c>
      <c r="B20">
        <v>0</v>
      </c>
      <c r="C20">
        <v>919.71165999999994</v>
      </c>
      <c r="D20">
        <v>3</v>
      </c>
      <c r="E20">
        <v>799.27273999999989</v>
      </c>
      <c r="F20">
        <v>5</v>
      </c>
      <c r="G20">
        <v>298.39515999999998</v>
      </c>
      <c r="H20">
        <v>36</v>
      </c>
      <c r="I20">
        <v>111.286294</v>
      </c>
      <c r="J20">
        <v>80</v>
      </c>
      <c r="K20">
        <v>44.010889999999996</v>
      </c>
      <c r="L20">
        <v>99</v>
      </c>
      <c r="M20">
        <v>19.093115999999998</v>
      </c>
      <c r="N20">
        <v>87</v>
      </c>
      <c r="O20">
        <v>8.6504306</v>
      </c>
      <c r="P20" s="3">
        <f t="shared" si="0"/>
        <v>14059.777750199997</v>
      </c>
      <c r="Q20" s="3">
        <f t="shared" si="1"/>
        <v>19300.404143999996</v>
      </c>
      <c r="R20">
        <v>4227242</v>
      </c>
      <c r="S20" s="21">
        <f t="shared" si="2"/>
        <v>0.45657201891919119</v>
      </c>
    </row>
    <row r="21" spans="1:19" x14ac:dyDescent="0.2">
      <c r="A21">
        <v>350000</v>
      </c>
      <c r="B21">
        <v>0</v>
      </c>
      <c r="C21">
        <v>919.71165999999994</v>
      </c>
      <c r="D21">
        <v>1</v>
      </c>
      <c r="E21">
        <v>799.27273999999989</v>
      </c>
      <c r="F21">
        <v>1</v>
      </c>
      <c r="G21">
        <v>298.39515999999998</v>
      </c>
      <c r="H21">
        <v>9</v>
      </c>
      <c r="I21">
        <v>111.286294</v>
      </c>
      <c r="J21">
        <v>19</v>
      </c>
      <c r="K21">
        <v>44.010889999999996</v>
      </c>
      <c r="L21">
        <v>16</v>
      </c>
      <c r="M21">
        <v>19.093115999999998</v>
      </c>
      <c r="N21">
        <v>23</v>
      </c>
      <c r="O21">
        <v>8.6504306</v>
      </c>
      <c r="P21" s="3">
        <f t="shared" si="0"/>
        <v>3439.9012158</v>
      </c>
      <c r="Q21" s="3">
        <f t="shared" si="1"/>
        <v>5240.6263938000002</v>
      </c>
      <c r="R21">
        <v>4227242</v>
      </c>
      <c r="S21" s="21">
        <f t="shared" si="2"/>
        <v>0.12397270830011625</v>
      </c>
    </row>
    <row r="22" spans="1:19" x14ac:dyDescent="0.2">
      <c r="A22">
        <v>500000</v>
      </c>
      <c r="B22">
        <v>0</v>
      </c>
      <c r="C22">
        <v>919.71165999999994</v>
      </c>
      <c r="D22">
        <v>0</v>
      </c>
      <c r="E22">
        <v>799.27273999999989</v>
      </c>
      <c r="F22">
        <v>1</v>
      </c>
      <c r="G22">
        <v>298.39515999999998</v>
      </c>
      <c r="H22">
        <v>2</v>
      </c>
      <c r="I22">
        <v>111.286294</v>
      </c>
      <c r="J22">
        <v>10</v>
      </c>
      <c r="K22">
        <v>44.010889999999996</v>
      </c>
      <c r="L22">
        <v>22</v>
      </c>
      <c r="M22">
        <v>19.093115999999998</v>
      </c>
      <c r="N22">
        <v>14</v>
      </c>
      <c r="O22">
        <v>8.6504306</v>
      </c>
      <c r="P22" s="3">
        <f t="shared" si="0"/>
        <v>1502.2312284</v>
      </c>
      <c r="Q22" s="3">
        <f t="shared" si="1"/>
        <v>1800.7251779999999</v>
      </c>
      <c r="R22">
        <v>4227242</v>
      </c>
      <c r="S22" s="21">
        <f t="shared" si="2"/>
        <v>4.2598109547548967E-2</v>
      </c>
    </row>
    <row r="23" spans="1:19" x14ac:dyDescent="0.2">
      <c r="A23" t="s">
        <v>12</v>
      </c>
      <c r="B23">
        <v>0</v>
      </c>
      <c r="C23">
        <v>919.71165999999994</v>
      </c>
      <c r="D23">
        <v>0</v>
      </c>
      <c r="E23">
        <v>799.27273999999989</v>
      </c>
      <c r="F23">
        <v>0</v>
      </c>
      <c r="G23">
        <v>298.39515999999998</v>
      </c>
      <c r="H23">
        <v>0</v>
      </c>
      <c r="I23">
        <v>111.286294</v>
      </c>
      <c r="J23">
        <v>3</v>
      </c>
      <c r="K23">
        <v>44.010889999999996</v>
      </c>
      <c r="L23">
        <v>6</v>
      </c>
      <c r="M23">
        <v>19.093115999999998</v>
      </c>
      <c r="N23">
        <v>6</v>
      </c>
      <c r="O23">
        <v>8.6504306</v>
      </c>
      <c r="P23" s="3">
        <f t="shared" si="0"/>
        <v>298.49394960000001</v>
      </c>
      <c r="Q23" s="3">
        <f>P23</f>
        <v>298.49394960000001</v>
      </c>
      <c r="R23">
        <v>4227242</v>
      </c>
      <c r="S23" s="21">
        <f t="shared" si="2"/>
        <v>7.0611985214000059E-3</v>
      </c>
    </row>
    <row r="24" spans="1:19" x14ac:dyDescent="0.2">
      <c r="A24" t="s">
        <v>3</v>
      </c>
      <c r="B24">
        <f t="shared" ref="B24:N24" si="3">SUM(B6:B23)</f>
        <v>130</v>
      </c>
      <c r="C24">
        <v>919.71165999999994</v>
      </c>
      <c r="D24">
        <f t="shared" si="3"/>
        <v>117</v>
      </c>
      <c r="E24">
        <v>799.27273999999989</v>
      </c>
      <c r="F24">
        <f t="shared" si="3"/>
        <v>412</v>
      </c>
      <c r="G24">
        <v>298.39515999999998</v>
      </c>
      <c r="H24">
        <f t="shared" si="3"/>
        <v>1012</v>
      </c>
      <c r="I24">
        <v>111.286294</v>
      </c>
      <c r="J24">
        <f t="shared" si="3"/>
        <v>2072</v>
      </c>
      <c r="K24">
        <v>44.010889999999996</v>
      </c>
      <c r="L24">
        <f t="shared" si="3"/>
        <v>2111</v>
      </c>
      <c r="M24">
        <v>19.093115999999998</v>
      </c>
      <c r="N24">
        <f t="shared" si="3"/>
        <v>1730</v>
      </c>
      <c r="O24">
        <v>8.6504306</v>
      </c>
      <c r="P24" s="3">
        <f t="shared" si="0"/>
        <v>595099.3387219999</v>
      </c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75</v>
      </c>
      <c r="B32" s="14">
        <v>5.0000000000000001E-4</v>
      </c>
      <c r="C32" s="4">
        <f>S22/100</f>
        <v>4.2598109547548968E-4</v>
      </c>
      <c r="D32">
        <f>S21/100</f>
        <v>1.2397270830011625E-3</v>
      </c>
      <c r="E32">
        <v>500000</v>
      </c>
      <c r="F32">
        <v>350000</v>
      </c>
      <c r="G32">
        <f t="shared" ref="G32:G37" si="4">D32/C32</f>
        <v>2.9102866210937162</v>
      </c>
      <c r="H32">
        <f t="shared" ref="H32:H37" si="5">LN(G32)</f>
        <v>1.0682515715542735</v>
      </c>
      <c r="I32">
        <f t="shared" ref="I32:I37" si="6">E32/F32</f>
        <v>1.4285714285714286</v>
      </c>
      <c r="J32">
        <f t="shared" ref="J32:J37" si="7">LN(I32)</f>
        <v>0.35667494393873239</v>
      </c>
      <c r="K32" s="4">
        <f t="shared" ref="K32:K37" si="8">H32/J32</f>
        <v>2.995028357634709</v>
      </c>
      <c r="L32" s="4">
        <f t="shared" ref="L32:L37" si="9">F32*POWER(D32,1/K32)</f>
        <v>37460.055368128284</v>
      </c>
      <c r="M32" s="20">
        <f t="shared" ref="M32:M37" si="10">POWER(B32,1/K32)</f>
        <v>7.9036943443606497E-2</v>
      </c>
      <c r="N32" s="8">
        <f t="shared" ref="N32:N37" si="11">L32/M32</f>
        <v>473956.2758377206</v>
      </c>
      <c r="O32" s="5">
        <v>4227242</v>
      </c>
      <c r="P32" s="8">
        <f>O32*(K32/(1-K32))*POWER(L32,K32)*(-1)*POWER(N32,1-K32)</f>
        <v>1503894112.3632357</v>
      </c>
      <c r="Q32" s="9">
        <f t="shared" ref="Q32:Q37" si="12">B32*O32</f>
        <v>2113.6210000000001</v>
      </c>
      <c r="R32" s="8">
        <f t="shared" ref="R32:R37" si="13">P32/Q32</f>
        <v>711524.96704150632</v>
      </c>
      <c r="S32" s="4">
        <f t="shared" ref="S32:S37" si="14">P32*6.2512*1.23</f>
        <v>11563405736.502222</v>
      </c>
    </row>
    <row r="33" spans="1:19" x14ac:dyDescent="0.2">
      <c r="A33" t="s">
        <v>75</v>
      </c>
      <c r="B33" s="14">
        <v>1E-3</v>
      </c>
      <c r="C33" s="4">
        <f>S22/100</f>
        <v>4.2598109547548968E-4</v>
      </c>
      <c r="D33">
        <f>S21/100</f>
        <v>1.2397270830011625E-3</v>
      </c>
      <c r="E33">
        <v>500000</v>
      </c>
      <c r="F33">
        <v>350000</v>
      </c>
      <c r="G33">
        <f t="shared" si="4"/>
        <v>2.9102866210937162</v>
      </c>
      <c r="H33">
        <f t="shared" si="5"/>
        <v>1.0682515715542735</v>
      </c>
      <c r="I33">
        <f t="shared" si="6"/>
        <v>1.4285714285714286</v>
      </c>
      <c r="J33">
        <f t="shared" si="7"/>
        <v>0.35667494393873239</v>
      </c>
      <c r="K33" s="4">
        <f t="shared" si="8"/>
        <v>2.995028357634709</v>
      </c>
      <c r="L33" s="4">
        <f t="shared" si="9"/>
        <v>37460.055368128284</v>
      </c>
      <c r="M33" s="20">
        <f t="shared" si="10"/>
        <v>9.9618508459546659E-2</v>
      </c>
      <c r="N33" s="8">
        <f t="shared" si="11"/>
        <v>376035.09576074569</v>
      </c>
      <c r="O33" s="5">
        <v>4227242</v>
      </c>
      <c r="P33" s="8">
        <f>O33*(K33/(1-K33))*POWER(L33,K33)*(POWER(N32,1-K33)-POWER(N33,1-K33))+P32</f>
        <v>2386367668.8613434</v>
      </c>
      <c r="Q33" s="9">
        <f t="shared" si="12"/>
        <v>4227.2420000000002</v>
      </c>
      <c r="R33" s="8">
        <f t="shared" si="13"/>
        <v>564521.18635775836</v>
      </c>
      <c r="S33" s="4">
        <f t="shared" si="14"/>
        <v>18348723733.050816</v>
      </c>
    </row>
    <row r="34" spans="1:19" x14ac:dyDescent="0.2">
      <c r="A34" t="s">
        <v>76</v>
      </c>
      <c r="B34" s="14">
        <v>2.5000000000000001E-3</v>
      </c>
      <c r="C34">
        <f>S21/100</f>
        <v>1.2397270830011625E-3</v>
      </c>
      <c r="D34">
        <f>S20/100</f>
        <v>4.5657201891919118E-3</v>
      </c>
      <c r="E34">
        <v>350000</v>
      </c>
      <c r="F34">
        <v>200000</v>
      </c>
      <c r="G34">
        <f t="shared" si="4"/>
        <v>3.6828429835856302</v>
      </c>
      <c r="H34">
        <f t="shared" si="5"/>
        <v>1.3036850038051804</v>
      </c>
      <c r="I34">
        <f t="shared" si="6"/>
        <v>1.75</v>
      </c>
      <c r="J34">
        <f t="shared" si="7"/>
        <v>0.55961578793542266</v>
      </c>
      <c r="K34" s="4">
        <f t="shared" si="8"/>
        <v>2.3296072625378113</v>
      </c>
      <c r="L34" s="4">
        <f t="shared" si="9"/>
        <v>19786.008970419767</v>
      </c>
      <c r="M34" s="20">
        <f t="shared" si="10"/>
        <v>7.6391983279689143E-2</v>
      </c>
      <c r="N34" s="8">
        <f t="shared" si="11"/>
        <v>259006.35277367395</v>
      </c>
      <c r="O34" s="5">
        <v>4227242</v>
      </c>
      <c r="P34" s="8">
        <f>O34*(K34/(1-K34))*POWER(L34,K34)*(POWER(N33,1-K34)-POWER(N34,1-K34))+P33</f>
        <v>4260908841.8490686</v>
      </c>
      <c r="Q34" s="9">
        <f t="shared" si="12"/>
        <v>10568.105</v>
      </c>
      <c r="R34" s="8">
        <f t="shared" si="13"/>
        <v>403185.70281512802</v>
      </c>
      <c r="S34" s="4">
        <f t="shared" si="14"/>
        <v>32762025823.165283</v>
      </c>
    </row>
    <row r="35" spans="1:19" x14ac:dyDescent="0.2">
      <c r="A35" t="s">
        <v>82</v>
      </c>
      <c r="B35" s="14">
        <v>5.0000000000000001E-3</v>
      </c>
      <c r="C35">
        <f>S20/100</f>
        <v>4.5657201891919118E-3</v>
      </c>
      <c r="D35">
        <f>S19/100</f>
        <v>5.4750728231314875E-3</v>
      </c>
      <c r="E35">
        <v>200000</v>
      </c>
      <c r="F35">
        <v>180000</v>
      </c>
      <c r="G35">
        <f t="shared" si="4"/>
        <v>1.1991695934613378</v>
      </c>
      <c r="H35">
        <f t="shared" si="5"/>
        <v>0.18162931179878086</v>
      </c>
      <c r="I35">
        <f t="shared" si="6"/>
        <v>1.1111111111111112</v>
      </c>
      <c r="J35">
        <f t="shared" si="7"/>
        <v>0.10536051565782635</v>
      </c>
      <c r="K35" s="4">
        <f t="shared" si="8"/>
        <v>1.7238840438921974</v>
      </c>
      <c r="L35" s="4">
        <f t="shared" si="9"/>
        <v>8776.987097096564</v>
      </c>
      <c r="M35" s="20">
        <f t="shared" si="10"/>
        <v>4.6260044695602826E-2</v>
      </c>
      <c r="N35" s="8">
        <f t="shared" si="11"/>
        <v>189731.48761204822</v>
      </c>
      <c r="O35" s="5">
        <v>4227242</v>
      </c>
      <c r="P35" s="8">
        <f>O35*(K35/(1-K35))*POWER(L35,K35)*(POWER(N34,1-K35)-POWER(N35,1-K35))+P34</f>
        <v>6187403974.9881916</v>
      </c>
      <c r="Q35" s="9">
        <f t="shared" si="12"/>
        <v>21136.21</v>
      </c>
      <c r="R35" s="8">
        <f t="shared" si="13"/>
        <v>292739.52023509378</v>
      </c>
      <c r="S35" s="4">
        <f t="shared" si="14"/>
        <v>47574800665.9888</v>
      </c>
    </row>
    <row r="36" spans="1:19" x14ac:dyDescent="0.2">
      <c r="A36" t="s">
        <v>80</v>
      </c>
      <c r="B36" s="14">
        <v>0.01</v>
      </c>
      <c r="C36">
        <f>S18/100</f>
        <v>7.2034415460482263E-3</v>
      </c>
      <c r="D36">
        <f>S17/100</f>
        <v>1.0333604975489928E-2</v>
      </c>
      <c r="E36">
        <v>160000</v>
      </c>
      <c r="F36">
        <v>140000</v>
      </c>
      <c r="G36">
        <f t="shared" si="4"/>
        <v>1.4345372152230338</v>
      </c>
      <c r="H36">
        <f t="shared" si="5"/>
        <v>0.36084229909547272</v>
      </c>
      <c r="I36">
        <f t="shared" si="6"/>
        <v>1.1428571428571428</v>
      </c>
      <c r="J36">
        <f t="shared" si="7"/>
        <v>0.13353139262452257</v>
      </c>
      <c r="K36" s="4">
        <f t="shared" si="8"/>
        <v>2.7023031214100084</v>
      </c>
      <c r="L36" s="4">
        <f t="shared" si="9"/>
        <v>25780.573872782377</v>
      </c>
      <c r="M36" s="20">
        <f t="shared" si="10"/>
        <v>0.18192424383707401</v>
      </c>
      <c r="N36" s="8">
        <f t="shared" si="11"/>
        <v>141710.49074619598</v>
      </c>
      <c r="O36" s="5">
        <v>4227242</v>
      </c>
      <c r="P36" s="8">
        <f>O36*(K36/(1-K36))*POWER(L36,K36)*(POWER(N35,1-K36)-POWER(N36,1-K36))+P35</f>
        <v>9910442091.1734352</v>
      </c>
      <c r="Q36" s="9">
        <f t="shared" si="12"/>
        <v>42272.42</v>
      </c>
      <c r="R36" s="8">
        <f t="shared" si="13"/>
        <v>234442.26971565469</v>
      </c>
      <c r="S36" s="4">
        <f t="shared" si="14"/>
        <v>76201151388.422348</v>
      </c>
    </row>
    <row r="37" spans="1:19" x14ac:dyDescent="0.2">
      <c r="A37" t="s">
        <v>71</v>
      </c>
      <c r="B37" s="14">
        <v>0.02</v>
      </c>
      <c r="C37">
        <f>S16/100</f>
        <v>1.4827517702889967E-2</v>
      </c>
      <c r="D37">
        <f>S15/100</f>
        <v>2.0741417936848652E-2</v>
      </c>
      <c r="E37">
        <v>120000</v>
      </c>
      <c r="F37">
        <v>100000</v>
      </c>
      <c r="G37">
        <f t="shared" si="4"/>
        <v>1.3988462770680781</v>
      </c>
      <c r="H37">
        <f t="shared" si="5"/>
        <v>0.3356478090656721</v>
      </c>
      <c r="I37">
        <f t="shared" si="6"/>
        <v>1.2</v>
      </c>
      <c r="J37">
        <f t="shared" si="7"/>
        <v>0.18232155679395459</v>
      </c>
      <c r="K37" s="4">
        <f t="shared" si="8"/>
        <v>1.8409661203419556</v>
      </c>
      <c r="L37" s="4">
        <f t="shared" si="9"/>
        <v>12181.992889354549</v>
      </c>
      <c r="M37" s="20">
        <f t="shared" si="10"/>
        <v>0.11943491455668924</v>
      </c>
      <c r="N37" s="8">
        <f t="shared" si="11"/>
        <v>101996.91551311339</v>
      </c>
      <c r="O37" s="5">
        <f>R17</f>
        <v>4227242</v>
      </c>
      <c r="P37" s="8">
        <f>O37*(K37/(1-K37))*POWER(L37,K37)*(POWER(N36,1-K37)-POWER(N37,1-K37))+P36</f>
        <v>14471242875.651512</v>
      </c>
      <c r="Q37" s="9">
        <f t="shared" si="12"/>
        <v>84544.84</v>
      </c>
      <c r="R37" s="8">
        <f t="shared" si="13"/>
        <v>171166.48249203042</v>
      </c>
      <c r="S37" s="4">
        <f t="shared" si="14"/>
        <v>111269039161.05547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14</v>
      </c>
      <c r="B50">
        <v>5</v>
      </c>
      <c r="C50">
        <v>2570.0457999999999</v>
      </c>
      <c r="D50">
        <v>7</v>
      </c>
      <c r="E50">
        <v>1385.7827199999999</v>
      </c>
      <c r="F50">
        <v>6</v>
      </c>
      <c r="G50">
        <v>505.30032</v>
      </c>
      <c r="H50">
        <v>14</v>
      </c>
      <c r="I50">
        <v>212.14591999999999</v>
      </c>
      <c r="J50">
        <v>32</v>
      </c>
      <c r="K50">
        <v>89.440357999999989</v>
      </c>
      <c r="L50">
        <v>57</v>
      </c>
      <c r="M50">
        <v>32.649707999999997</v>
      </c>
      <c r="N50">
        <v>72</v>
      </c>
      <c r="O50">
        <v>10.761099999999999</v>
      </c>
      <c r="P50" s="3">
        <f>(B50*C50)+(D50*E50)+(F50*G50)+(H50*I50)+(J50*K50)+(L50*M50)+(N50*O50)</f>
        <v>34050.476852</v>
      </c>
      <c r="Q50" s="3"/>
    </row>
    <row r="51" spans="1:19" x14ac:dyDescent="0.2">
      <c r="A51">
        <v>20000</v>
      </c>
      <c r="B51">
        <v>3</v>
      </c>
      <c r="C51">
        <v>2570.0457999999999</v>
      </c>
      <c r="D51">
        <v>5</v>
      </c>
      <c r="E51">
        <v>1385.7827199999999</v>
      </c>
      <c r="F51">
        <v>30</v>
      </c>
      <c r="G51">
        <v>505.30032</v>
      </c>
      <c r="H51">
        <v>64</v>
      </c>
      <c r="I51">
        <v>212.14591999999999</v>
      </c>
      <c r="J51">
        <v>131</v>
      </c>
      <c r="K51">
        <v>89.440357999999989</v>
      </c>
      <c r="L51">
        <v>242</v>
      </c>
      <c r="M51">
        <v>32.649707999999997</v>
      </c>
      <c r="N51">
        <v>364</v>
      </c>
      <c r="O51">
        <v>10.761099999999999</v>
      </c>
      <c r="P51" s="3">
        <f t="shared" ref="P51:P68" si="15">(B51*C51)+(D51*E51)+(F51*G51)+(H51*I51)+(J51*K51)+(L51*M51)+(N51*O51)</f>
        <v>66910.356113999995</v>
      </c>
      <c r="Q51" s="3"/>
    </row>
    <row r="52" spans="1:19" x14ac:dyDescent="0.2">
      <c r="A52">
        <v>30000</v>
      </c>
      <c r="B52">
        <v>0</v>
      </c>
      <c r="C52">
        <v>2570.0457999999999</v>
      </c>
      <c r="D52">
        <v>5</v>
      </c>
      <c r="E52">
        <v>1385.7827199999999</v>
      </c>
      <c r="F52">
        <v>14</v>
      </c>
      <c r="G52">
        <v>505.30032</v>
      </c>
      <c r="H52">
        <v>60</v>
      </c>
      <c r="I52">
        <v>212.14591999999999</v>
      </c>
      <c r="J52">
        <v>92</v>
      </c>
      <c r="K52">
        <v>89.440357999999989</v>
      </c>
      <c r="L52">
        <v>216</v>
      </c>
      <c r="M52">
        <v>32.649707999999997</v>
      </c>
      <c r="N52">
        <v>268</v>
      </c>
      <c r="O52">
        <v>10.761099999999999</v>
      </c>
      <c r="P52" s="3">
        <f t="shared" si="15"/>
        <v>44896.697944</v>
      </c>
      <c r="Q52" s="3">
        <f>Q53+P52</f>
        <v>230427.76489599998</v>
      </c>
      <c r="R52">
        <v>4280050</v>
      </c>
      <c r="S52">
        <f>Q52/R52*100</f>
        <v>5.3837633881847164</v>
      </c>
    </row>
    <row r="53" spans="1:19" x14ac:dyDescent="0.2">
      <c r="A53">
        <v>40000</v>
      </c>
      <c r="B53">
        <v>2</v>
      </c>
      <c r="C53">
        <v>2570.0457999999999</v>
      </c>
      <c r="D53">
        <v>1</v>
      </c>
      <c r="E53">
        <v>1385.7827199999999</v>
      </c>
      <c r="F53">
        <v>13</v>
      </c>
      <c r="G53">
        <v>505.30032</v>
      </c>
      <c r="H53">
        <v>48</v>
      </c>
      <c r="I53">
        <v>212.14591999999999</v>
      </c>
      <c r="J53">
        <v>102</v>
      </c>
      <c r="K53">
        <v>89.440357999999989</v>
      </c>
      <c r="L53">
        <v>190</v>
      </c>
      <c r="M53">
        <v>32.649707999999997</v>
      </c>
      <c r="N53">
        <v>226</v>
      </c>
      <c r="O53">
        <v>10.761099999999999</v>
      </c>
      <c r="P53" s="3">
        <f t="shared" si="15"/>
        <v>41036.152276000001</v>
      </c>
      <c r="Q53" s="3">
        <f t="shared" ref="Q53:Q62" si="16">Q54+P53</f>
        <v>185531.06695199999</v>
      </c>
      <c r="R53">
        <v>4280050</v>
      </c>
      <c r="S53">
        <f>Q53/R53*100</f>
        <v>4.3347873728577939</v>
      </c>
    </row>
    <row r="54" spans="1:19" x14ac:dyDescent="0.2">
      <c r="A54">
        <v>50000</v>
      </c>
      <c r="B54">
        <v>3</v>
      </c>
      <c r="C54">
        <v>2570.0457999999999</v>
      </c>
      <c r="D54">
        <v>3</v>
      </c>
      <c r="E54">
        <v>1385.7827199999999</v>
      </c>
      <c r="F54">
        <v>12</v>
      </c>
      <c r="G54">
        <v>505.30032</v>
      </c>
      <c r="H54">
        <v>40</v>
      </c>
      <c r="I54">
        <v>212.14591999999999</v>
      </c>
      <c r="J54">
        <v>73</v>
      </c>
      <c r="K54">
        <v>89.440357999999989</v>
      </c>
      <c r="L54">
        <v>141</v>
      </c>
      <c r="M54">
        <v>32.649707999999997</v>
      </c>
      <c r="N54">
        <v>190</v>
      </c>
      <c r="O54">
        <v>10.761099999999999</v>
      </c>
      <c r="P54" s="3">
        <f t="shared" si="15"/>
        <v>39594.29016199999</v>
      </c>
      <c r="Q54" s="3">
        <f t="shared" si="16"/>
        <v>144494.91467599999</v>
      </c>
      <c r="R54">
        <v>4280050</v>
      </c>
      <c r="S54">
        <f>Q54/R54*100</f>
        <v>3.3760099689489604</v>
      </c>
    </row>
    <row r="55" spans="1:19" x14ac:dyDescent="0.2">
      <c r="A55">
        <v>60000</v>
      </c>
      <c r="B55">
        <v>0</v>
      </c>
      <c r="C55">
        <v>2570.0457999999999</v>
      </c>
      <c r="D55">
        <v>0</v>
      </c>
      <c r="E55">
        <v>1385.7827199999999</v>
      </c>
      <c r="F55">
        <v>13</v>
      </c>
      <c r="G55">
        <v>505.30032</v>
      </c>
      <c r="H55">
        <v>30</v>
      </c>
      <c r="I55">
        <v>212.14591999999999</v>
      </c>
      <c r="J55">
        <v>60</v>
      </c>
      <c r="K55">
        <v>89.440357999999989</v>
      </c>
      <c r="L55">
        <v>99</v>
      </c>
      <c r="M55">
        <v>32.649707999999997</v>
      </c>
      <c r="N55">
        <v>121</v>
      </c>
      <c r="O55">
        <v>10.761099999999999</v>
      </c>
      <c r="P55" s="3">
        <f t="shared" si="15"/>
        <v>22834.117431999995</v>
      </c>
      <c r="Q55" s="3">
        <f t="shared" si="16"/>
        <v>104900.624514</v>
      </c>
      <c r="R55">
        <v>4280050</v>
      </c>
      <c r="S55">
        <f>Q55/R55*100</f>
        <v>2.4509205386385671</v>
      </c>
    </row>
    <row r="56" spans="1:19" x14ac:dyDescent="0.2">
      <c r="A56">
        <v>70000</v>
      </c>
      <c r="B56">
        <v>3</v>
      </c>
      <c r="C56">
        <v>2570.0457999999999</v>
      </c>
      <c r="D56">
        <v>2</v>
      </c>
      <c r="E56">
        <v>1385.7827199999999</v>
      </c>
      <c r="F56">
        <v>8</v>
      </c>
      <c r="G56">
        <v>505.30032</v>
      </c>
      <c r="H56">
        <v>20</v>
      </c>
      <c r="I56">
        <v>212.14591999999999</v>
      </c>
      <c r="J56">
        <v>39</v>
      </c>
      <c r="K56">
        <v>89.440357999999989</v>
      </c>
      <c r="L56">
        <v>68</v>
      </c>
      <c r="M56">
        <v>32.649707999999997</v>
      </c>
      <c r="N56">
        <v>106</v>
      </c>
      <c r="O56">
        <v>10.761099999999999</v>
      </c>
      <c r="P56" s="3">
        <f t="shared" si="15"/>
        <v>25616.054506</v>
      </c>
      <c r="Q56" s="3">
        <f t="shared" si="16"/>
        <v>82066.507081999996</v>
      </c>
      <c r="R56">
        <v>4280050</v>
      </c>
      <c r="S56">
        <f>Q56/R56*100</f>
        <v>1.9174193544935221</v>
      </c>
    </row>
    <row r="57" spans="1:19" x14ac:dyDescent="0.2">
      <c r="A57">
        <v>80000</v>
      </c>
      <c r="B57">
        <v>0</v>
      </c>
      <c r="C57">
        <v>2570.0457999999999</v>
      </c>
      <c r="D57">
        <v>1</v>
      </c>
      <c r="E57">
        <v>1385.7827199999999</v>
      </c>
      <c r="F57">
        <v>6</v>
      </c>
      <c r="G57">
        <v>505.30032</v>
      </c>
      <c r="H57">
        <v>11</v>
      </c>
      <c r="I57">
        <v>212.14591999999999</v>
      </c>
      <c r="J57">
        <v>30</v>
      </c>
      <c r="K57">
        <v>89.440357999999989</v>
      </c>
      <c r="L57">
        <v>60</v>
      </c>
      <c r="M57">
        <v>32.649707999999997</v>
      </c>
      <c r="N57">
        <v>92</v>
      </c>
      <c r="O57">
        <v>10.761099999999999</v>
      </c>
      <c r="P57" s="3">
        <f t="shared" si="15"/>
        <v>12383.40418</v>
      </c>
      <c r="Q57" s="3">
        <f t="shared" si="16"/>
        <v>56450.452575999989</v>
      </c>
      <c r="R57">
        <v>4280050</v>
      </c>
      <c r="S57">
        <f t="shared" ref="S57:S63" si="17">Q57/R57*100</f>
        <v>1.3189203999018702</v>
      </c>
    </row>
    <row r="58" spans="1:19" x14ac:dyDescent="0.2">
      <c r="A58">
        <v>90000</v>
      </c>
      <c r="B58">
        <v>0</v>
      </c>
      <c r="C58">
        <v>2570.0457999999999</v>
      </c>
      <c r="D58">
        <v>0</v>
      </c>
      <c r="E58">
        <v>1385.7827199999999</v>
      </c>
      <c r="F58">
        <v>2</v>
      </c>
      <c r="G58">
        <v>505.30032</v>
      </c>
      <c r="H58">
        <v>11</v>
      </c>
      <c r="I58">
        <v>212.14591999999999</v>
      </c>
      <c r="J58">
        <v>20</v>
      </c>
      <c r="K58">
        <v>89.440357999999989</v>
      </c>
      <c r="L58">
        <v>37</v>
      </c>
      <c r="M58">
        <v>32.649707999999997</v>
      </c>
      <c r="N58">
        <v>59</v>
      </c>
      <c r="O58">
        <v>10.761099999999999</v>
      </c>
      <c r="P58" s="3">
        <f t="shared" si="15"/>
        <v>6975.9570159999985</v>
      </c>
      <c r="Q58" s="3">
        <f t="shared" si="16"/>
        <v>44067.048395999991</v>
      </c>
      <c r="R58">
        <v>4280050</v>
      </c>
      <c r="S58">
        <f t="shared" si="17"/>
        <v>1.0295919065431476</v>
      </c>
    </row>
    <row r="59" spans="1:19" x14ac:dyDescent="0.2">
      <c r="A59">
        <v>100000</v>
      </c>
      <c r="B59">
        <v>0</v>
      </c>
      <c r="C59">
        <v>2570.0457999999999</v>
      </c>
      <c r="D59">
        <v>0</v>
      </c>
      <c r="E59">
        <v>1385.7827199999999</v>
      </c>
      <c r="F59">
        <v>2</v>
      </c>
      <c r="G59">
        <v>505.30032</v>
      </c>
      <c r="H59">
        <v>18</v>
      </c>
      <c r="I59">
        <v>212.14591999999999</v>
      </c>
      <c r="J59">
        <v>30</v>
      </c>
      <c r="K59">
        <v>89.440357999999989</v>
      </c>
      <c r="L59">
        <v>64</v>
      </c>
      <c r="M59">
        <v>32.649707999999997</v>
      </c>
      <c r="N59">
        <v>86</v>
      </c>
      <c r="O59">
        <v>10.761099999999999</v>
      </c>
      <c r="P59" s="3">
        <f t="shared" si="15"/>
        <v>10527.473851999997</v>
      </c>
      <c r="Q59" s="3">
        <f t="shared" si="16"/>
        <v>37091.091379999991</v>
      </c>
      <c r="R59">
        <v>4280050</v>
      </c>
      <c r="S59">
        <f t="shared" si="17"/>
        <v>0.86660416069905699</v>
      </c>
    </row>
    <row r="60" spans="1:19" x14ac:dyDescent="0.2">
      <c r="A60">
        <v>120000</v>
      </c>
      <c r="B60">
        <v>0</v>
      </c>
      <c r="C60">
        <v>2570.0457999999999</v>
      </c>
      <c r="D60">
        <v>1</v>
      </c>
      <c r="E60">
        <v>1385.7827199999999</v>
      </c>
      <c r="F60">
        <v>3</v>
      </c>
      <c r="G60">
        <v>505.30032</v>
      </c>
      <c r="H60">
        <v>10</v>
      </c>
      <c r="I60">
        <v>212.14591999999999</v>
      </c>
      <c r="J60">
        <v>21</v>
      </c>
      <c r="K60">
        <v>89.440357999999989</v>
      </c>
      <c r="L60">
        <v>35</v>
      </c>
      <c r="M60">
        <v>32.649707999999997</v>
      </c>
      <c r="N60">
        <v>59</v>
      </c>
      <c r="O60">
        <v>10.761099999999999</v>
      </c>
      <c r="P60" s="3">
        <f t="shared" si="15"/>
        <v>8679.035077999999</v>
      </c>
      <c r="Q60" s="3">
        <f t="shared" si="16"/>
        <v>26563.617527999995</v>
      </c>
      <c r="R60">
        <v>4280050</v>
      </c>
      <c r="S60">
        <f t="shared" si="17"/>
        <v>0.62063801890164827</v>
      </c>
    </row>
    <row r="61" spans="1:19" x14ac:dyDescent="0.2">
      <c r="A61">
        <v>140000</v>
      </c>
      <c r="B61">
        <v>0</v>
      </c>
      <c r="C61">
        <v>2570.0457999999999</v>
      </c>
      <c r="D61">
        <v>0</v>
      </c>
      <c r="E61">
        <v>1385.7827199999999</v>
      </c>
      <c r="F61">
        <v>3</v>
      </c>
      <c r="G61">
        <v>505.30032</v>
      </c>
      <c r="H61">
        <v>7</v>
      </c>
      <c r="I61">
        <v>212.14591999999999</v>
      </c>
      <c r="J61">
        <v>13</v>
      </c>
      <c r="K61">
        <v>89.440357999999989</v>
      </c>
      <c r="L61">
        <v>27</v>
      </c>
      <c r="M61">
        <v>32.649707999999997</v>
      </c>
      <c r="N61">
        <v>34</v>
      </c>
      <c r="O61">
        <v>10.761099999999999</v>
      </c>
      <c r="P61" s="3">
        <f t="shared" si="15"/>
        <v>5411.06657</v>
      </c>
      <c r="Q61" s="3">
        <f t="shared" si="16"/>
        <v>17884.582449999998</v>
      </c>
      <c r="R61">
        <v>4280050</v>
      </c>
      <c r="S61">
        <f t="shared" si="17"/>
        <v>0.41785919440193453</v>
      </c>
    </row>
    <row r="62" spans="1:19" x14ac:dyDescent="0.2">
      <c r="A62">
        <v>160000</v>
      </c>
      <c r="B62">
        <v>0</v>
      </c>
      <c r="C62">
        <v>2570.0457999999999</v>
      </c>
      <c r="D62">
        <v>0</v>
      </c>
      <c r="E62">
        <v>1385.7827199999999</v>
      </c>
      <c r="F62">
        <v>0</v>
      </c>
      <c r="G62">
        <v>505.30032</v>
      </c>
      <c r="H62">
        <v>2</v>
      </c>
      <c r="I62">
        <v>212.14591999999999</v>
      </c>
      <c r="J62">
        <v>5</v>
      </c>
      <c r="K62">
        <v>89.440357999999989</v>
      </c>
      <c r="L62">
        <v>21</v>
      </c>
      <c r="M62">
        <v>32.649707999999997</v>
      </c>
      <c r="N62">
        <v>33</v>
      </c>
      <c r="O62">
        <v>10.761099999999999</v>
      </c>
      <c r="P62" s="3">
        <f t="shared" si="15"/>
        <v>1912.2537979999997</v>
      </c>
      <c r="Q62" s="3">
        <f t="shared" si="16"/>
        <v>12473.515879999999</v>
      </c>
      <c r="R62">
        <v>4280050</v>
      </c>
      <c r="S62">
        <f t="shared" si="17"/>
        <v>0.29143388231445894</v>
      </c>
    </row>
    <row r="63" spans="1:19" x14ac:dyDescent="0.2">
      <c r="A63">
        <v>180000</v>
      </c>
      <c r="B63">
        <v>0</v>
      </c>
      <c r="C63">
        <v>2570.0457999999999</v>
      </c>
      <c r="D63">
        <v>0</v>
      </c>
      <c r="E63">
        <v>1385.7827199999999</v>
      </c>
      <c r="F63">
        <v>1</v>
      </c>
      <c r="G63">
        <v>505.30032</v>
      </c>
      <c r="H63">
        <v>1</v>
      </c>
      <c r="I63">
        <v>212.14591999999999</v>
      </c>
      <c r="J63">
        <v>10</v>
      </c>
      <c r="K63">
        <v>89.440357999999989</v>
      </c>
      <c r="L63">
        <v>12</v>
      </c>
      <c r="M63">
        <v>32.649707999999997</v>
      </c>
      <c r="N63">
        <v>15</v>
      </c>
      <c r="O63">
        <v>10.761099999999999</v>
      </c>
      <c r="P63" s="3">
        <f t="shared" si="15"/>
        <v>2165.0628159999997</v>
      </c>
      <c r="Q63" s="3">
        <f>P64+P63</f>
        <v>10561.262081999999</v>
      </c>
      <c r="R63">
        <v>4280050</v>
      </c>
      <c r="S63">
        <f t="shared" si="17"/>
        <v>0.24675557720120092</v>
      </c>
    </row>
    <row r="64" spans="1:19" x14ac:dyDescent="0.2">
      <c r="A64">
        <v>200000</v>
      </c>
      <c r="B64">
        <v>1</v>
      </c>
      <c r="C64">
        <v>2570.0457999999999</v>
      </c>
      <c r="D64">
        <v>0</v>
      </c>
      <c r="E64">
        <v>1385.7827199999999</v>
      </c>
      <c r="F64">
        <v>2</v>
      </c>
      <c r="G64">
        <v>505.30032</v>
      </c>
      <c r="H64">
        <v>6</v>
      </c>
      <c r="I64">
        <v>212.14591999999999</v>
      </c>
      <c r="J64">
        <v>19</v>
      </c>
      <c r="K64">
        <v>89.440357999999989</v>
      </c>
      <c r="L64">
        <v>38</v>
      </c>
      <c r="M64">
        <v>32.649707999999997</v>
      </c>
      <c r="N64">
        <v>56</v>
      </c>
      <c r="O64">
        <v>10.761099999999999</v>
      </c>
      <c r="P64" s="3">
        <f t="shared" si="15"/>
        <v>8396.1992659999996</v>
      </c>
      <c r="Q64" s="3">
        <f>P65+P64</f>
        <v>9270.2313620000004</v>
      </c>
      <c r="R64">
        <v>4280050</v>
      </c>
      <c r="S64">
        <f>Q64/R64*100</f>
        <v>0.21659166042452774</v>
      </c>
    </row>
    <row r="65" spans="1:19" x14ac:dyDescent="0.2">
      <c r="A65">
        <v>350000</v>
      </c>
      <c r="B65">
        <v>0</v>
      </c>
      <c r="C65">
        <v>2570.0457999999999</v>
      </c>
      <c r="D65">
        <v>0</v>
      </c>
      <c r="E65">
        <v>1385.7827199999999</v>
      </c>
      <c r="F65">
        <v>0</v>
      </c>
      <c r="G65">
        <v>505.30032</v>
      </c>
      <c r="H65">
        <v>2</v>
      </c>
      <c r="I65">
        <v>212.14591999999999</v>
      </c>
      <c r="J65">
        <v>2</v>
      </c>
      <c r="K65">
        <v>89.440357999999989</v>
      </c>
      <c r="L65">
        <v>5</v>
      </c>
      <c r="M65">
        <v>32.649707999999997</v>
      </c>
      <c r="N65">
        <v>10</v>
      </c>
      <c r="O65">
        <v>10.761099999999999</v>
      </c>
      <c r="P65" s="3">
        <f t="shared" si="15"/>
        <v>874.03209600000002</v>
      </c>
      <c r="Q65" s="3">
        <f>P66+P65</f>
        <v>1234.3319940000001</v>
      </c>
      <c r="R65">
        <v>4280050</v>
      </c>
      <c r="S65">
        <f>Q65/R65*100</f>
        <v>2.8839195663602067E-2</v>
      </c>
    </row>
    <row r="66" spans="1:19" x14ac:dyDescent="0.2">
      <c r="A66">
        <v>500000</v>
      </c>
      <c r="B66">
        <v>0</v>
      </c>
      <c r="C66">
        <v>2570.0457999999999</v>
      </c>
      <c r="D66">
        <v>0</v>
      </c>
      <c r="E66">
        <v>1385.7827199999999</v>
      </c>
      <c r="F66">
        <v>0</v>
      </c>
      <c r="G66">
        <v>505.30032</v>
      </c>
      <c r="H66">
        <v>0</v>
      </c>
      <c r="I66">
        <v>212.14591999999999</v>
      </c>
      <c r="J66">
        <v>1</v>
      </c>
      <c r="K66">
        <v>89.440357999999989</v>
      </c>
      <c r="L66">
        <v>5</v>
      </c>
      <c r="M66">
        <v>32.649707999999997</v>
      </c>
      <c r="N66">
        <v>10</v>
      </c>
      <c r="O66">
        <v>10.761099999999999</v>
      </c>
      <c r="P66" s="3">
        <f t="shared" si="15"/>
        <v>360.29989799999998</v>
      </c>
      <c r="Q66" s="3">
        <f>P67+P66</f>
        <v>425.23290599999996</v>
      </c>
      <c r="R66">
        <v>4280050</v>
      </c>
      <c r="S66">
        <f>Q66/R66*100</f>
        <v>9.9352322052312456E-3</v>
      </c>
    </row>
    <row r="67" spans="1:19" x14ac:dyDescent="0.2">
      <c r="A67" t="s">
        <v>12</v>
      </c>
      <c r="B67">
        <v>0</v>
      </c>
      <c r="C67">
        <v>2570.0457999999999</v>
      </c>
      <c r="D67">
        <v>0</v>
      </c>
      <c r="E67">
        <v>1385.7827199999999</v>
      </c>
      <c r="F67">
        <v>0</v>
      </c>
      <c r="G67">
        <v>505.30032</v>
      </c>
      <c r="H67">
        <v>0</v>
      </c>
      <c r="I67">
        <v>212.14591999999999</v>
      </c>
      <c r="J67">
        <v>0</v>
      </c>
      <c r="K67">
        <v>89.440357999999989</v>
      </c>
      <c r="L67">
        <v>1</v>
      </c>
      <c r="M67">
        <v>32.649707999999997</v>
      </c>
      <c r="N67">
        <v>3</v>
      </c>
      <c r="O67">
        <v>10.761099999999999</v>
      </c>
      <c r="P67" s="3">
        <f t="shared" si="15"/>
        <v>64.933008000000001</v>
      </c>
      <c r="Q67" s="3">
        <v>271</v>
      </c>
      <c r="R67">
        <v>4280050</v>
      </c>
      <c r="S67">
        <f>Q67/R67*100</f>
        <v>6.3317017324563962E-3</v>
      </c>
    </row>
    <row r="68" spans="1:19" x14ac:dyDescent="0.2">
      <c r="A68" t="s">
        <v>3</v>
      </c>
      <c r="B68">
        <v>17</v>
      </c>
      <c r="C68">
        <v>2570.0457999999999</v>
      </c>
      <c r="D68">
        <v>25</v>
      </c>
      <c r="E68">
        <v>1385.7827199999999</v>
      </c>
      <c r="F68">
        <v>115</v>
      </c>
      <c r="G68">
        <v>505.30032</v>
      </c>
      <c r="H68">
        <v>344</v>
      </c>
      <c r="I68">
        <v>212.14591999999999</v>
      </c>
      <c r="J68">
        <v>680</v>
      </c>
      <c r="K68">
        <v>89.440357999999989</v>
      </c>
      <c r="L68">
        <v>1318</v>
      </c>
      <c r="M68">
        <v>32.649707999999997</v>
      </c>
      <c r="N68">
        <v>1804</v>
      </c>
      <c r="O68">
        <v>10.761099999999999</v>
      </c>
      <c r="P68" s="3">
        <f t="shared" si="15"/>
        <v>332687.86286399997</v>
      </c>
      <c r="Q68" s="3"/>
      <c r="R68">
        <v>4280050</v>
      </c>
    </row>
    <row r="69" spans="1:19" ht="15" x14ac:dyDescent="0.25">
      <c r="A69" s="2" t="s">
        <v>24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76</v>
      </c>
      <c r="B73" s="14">
        <v>5.0000000000000001E-4</v>
      </c>
      <c r="C73" s="4">
        <f>S65/100</f>
        <v>2.8839195663602065E-4</v>
      </c>
      <c r="D73" s="5">
        <f>S64/100</f>
        <v>2.1659166042452774E-3</v>
      </c>
      <c r="E73" s="5">
        <v>350000</v>
      </c>
      <c r="F73" s="5">
        <v>200000</v>
      </c>
      <c r="G73" s="5">
        <f t="shared" ref="G73:G78" si="18">D73/C73</f>
        <v>7.5103225121457866</v>
      </c>
      <c r="H73" s="5">
        <f t="shared" ref="H73:H78" si="19">LN(G73)</f>
        <v>2.0162784092142521</v>
      </c>
      <c r="I73" s="5">
        <f t="shared" ref="I73:I78" si="20">E73/F73</f>
        <v>1.75</v>
      </c>
      <c r="J73" s="5">
        <f t="shared" ref="J73:J78" si="21">LN(I73)</f>
        <v>0.55961578793542266</v>
      </c>
      <c r="K73" s="4">
        <v>1.9234801750286095</v>
      </c>
      <c r="L73" s="4">
        <v>4811.8027558538124</v>
      </c>
      <c r="M73" s="7">
        <f t="shared" ref="M73:M78" si="22">POWER(B73,1/K73)</f>
        <v>1.9223137344769516E-2</v>
      </c>
      <c r="N73" s="8">
        <f t="shared" ref="N73:N78" si="23">L73/M73</f>
        <v>250313.08207154181</v>
      </c>
      <c r="O73">
        <f t="shared" ref="O73:O78" si="24">R54</f>
        <v>4280050</v>
      </c>
      <c r="P73" s="8">
        <f>O73*(K73/(1-K73))*POWER(L73,K73)*(-1)*POWER(N73,1-K73)</f>
        <v>1115738790.7458673</v>
      </c>
      <c r="Q73" s="9">
        <f t="shared" ref="Q73:Q78" si="25">B73*O73</f>
        <v>2140.0250000000001</v>
      </c>
      <c r="R73" s="4">
        <f t="shared" ref="R73:R78" si="26">P73/Q73</f>
        <v>521367.1759656393</v>
      </c>
      <c r="S73" s="3">
        <f t="shared" ref="S73:S78" si="27">6.2512*P73*1.23</f>
        <v>8578888784.3139954</v>
      </c>
    </row>
    <row r="74" spans="1:19" x14ac:dyDescent="0.2">
      <c r="A74" t="s">
        <v>76</v>
      </c>
      <c r="B74" s="14">
        <v>1E-3</v>
      </c>
      <c r="C74" s="5">
        <f>S65/100</f>
        <v>2.8839195663602065E-4</v>
      </c>
      <c r="D74" s="5">
        <f>S64/100</f>
        <v>2.1659166042452774E-3</v>
      </c>
      <c r="E74" s="5">
        <v>350000</v>
      </c>
      <c r="F74" s="5">
        <v>200000</v>
      </c>
      <c r="G74" s="5">
        <f t="shared" si="18"/>
        <v>7.5103225121457866</v>
      </c>
      <c r="H74" s="5">
        <f t="shared" si="19"/>
        <v>2.0162784092142521</v>
      </c>
      <c r="I74" s="5">
        <f t="shared" si="20"/>
        <v>1.75</v>
      </c>
      <c r="J74" s="5">
        <f t="shared" si="21"/>
        <v>0.55961578793542266</v>
      </c>
      <c r="K74" s="4">
        <v>1.9234801750286095</v>
      </c>
      <c r="L74" s="4">
        <v>4811.8027558538124</v>
      </c>
      <c r="M74" s="7">
        <f t="shared" si="22"/>
        <v>2.7563035814321329E-2</v>
      </c>
      <c r="N74" s="8">
        <f t="shared" si="23"/>
        <v>174574.48403973243</v>
      </c>
      <c r="O74">
        <f t="shared" si="24"/>
        <v>4280050</v>
      </c>
      <c r="P74" s="8">
        <f>O74*(K74/(1-K74))*POWER(L74,K74)*(POWER(N73,1-K74)-POWER(N74,1-K74))+P73</f>
        <v>1556287207.2495594</v>
      </c>
      <c r="Q74" s="9">
        <f t="shared" si="25"/>
        <v>4280.05</v>
      </c>
      <c r="R74" s="4">
        <f t="shared" si="26"/>
        <v>363614.25853659638</v>
      </c>
      <c r="S74" s="3">
        <f t="shared" si="27"/>
        <v>11966254985.648886</v>
      </c>
    </row>
    <row r="75" spans="1:19" x14ac:dyDescent="0.2">
      <c r="A75" t="s">
        <v>77</v>
      </c>
      <c r="B75" s="14">
        <v>2.5000000000000001E-3</v>
      </c>
      <c r="C75" s="5">
        <f>S63/100</f>
        <v>2.4675557720120092E-3</v>
      </c>
      <c r="D75" s="5">
        <f>S62/100</f>
        <v>2.9143388231445892E-3</v>
      </c>
      <c r="E75" s="5">
        <v>180000</v>
      </c>
      <c r="F75" s="5">
        <v>160000</v>
      </c>
      <c r="G75" s="5">
        <f t="shared" si="18"/>
        <v>1.1810630001559315</v>
      </c>
      <c r="H75" s="5">
        <f t="shared" si="19"/>
        <v>0.1664148805476785</v>
      </c>
      <c r="I75" s="5">
        <f t="shared" si="20"/>
        <v>1.125</v>
      </c>
      <c r="J75" s="5">
        <f t="shared" si="21"/>
        <v>0.11778303565638346</v>
      </c>
      <c r="K75" s="4">
        <f>H75/J75</f>
        <v>1.4128934580457926</v>
      </c>
      <c r="L75" s="4">
        <f>F75*(D75^(1/K75))</f>
        <v>2568.052827039955</v>
      </c>
      <c r="M75" s="7">
        <f t="shared" si="22"/>
        <v>1.4399474233926972E-2</v>
      </c>
      <c r="N75" s="8">
        <f t="shared" si="23"/>
        <v>178343.51347282526</v>
      </c>
      <c r="O75">
        <f t="shared" si="24"/>
        <v>4280050</v>
      </c>
      <c r="P75" s="8">
        <f>O75*(K75/(1-K75))*POWER(L75,K75)*(POWER(N74,1-K75)-POWER(N75,1-K75))+P74</f>
        <v>1498441073.8207734</v>
      </c>
      <c r="Q75" s="9">
        <f t="shared" si="25"/>
        <v>10700.125</v>
      </c>
      <c r="R75" s="4">
        <f t="shared" si="26"/>
        <v>140039.58587593821</v>
      </c>
      <c r="S75" s="3">
        <f t="shared" si="27"/>
        <v>11521477454.022156</v>
      </c>
    </row>
    <row r="76" spans="1:19" x14ac:dyDescent="0.2">
      <c r="A76" t="s">
        <v>73</v>
      </c>
      <c r="B76" s="14">
        <v>5.0000000000000001E-3</v>
      </c>
      <c r="C76" s="5">
        <f>S61/100</f>
        <v>4.1785919440193451E-3</v>
      </c>
      <c r="D76" s="5">
        <f>S60/100</f>
        <v>6.2063801890164831E-3</v>
      </c>
      <c r="E76" s="5">
        <v>140000</v>
      </c>
      <c r="F76" s="5">
        <v>120000</v>
      </c>
      <c r="G76" s="5">
        <f t="shared" si="18"/>
        <v>1.4852802743516107</v>
      </c>
      <c r="H76" s="5">
        <f t="shared" si="19"/>
        <v>0.3956034913831995</v>
      </c>
      <c r="I76" s="5">
        <f t="shared" si="20"/>
        <v>1.1666666666666667</v>
      </c>
      <c r="J76" s="5">
        <f t="shared" si="21"/>
        <v>0.15415067982725836</v>
      </c>
      <c r="K76" s="4">
        <f>H76/J76</f>
        <v>2.5663428265546009</v>
      </c>
      <c r="L76" s="4">
        <f>F76*(D76^(1/K76))</f>
        <v>16563.024072614342</v>
      </c>
      <c r="M76" s="7">
        <f t="shared" si="22"/>
        <v>0.12687664300092172</v>
      </c>
      <c r="N76" s="8">
        <f t="shared" si="23"/>
        <v>130544.31202513781</v>
      </c>
      <c r="O76">
        <f t="shared" si="24"/>
        <v>4280050</v>
      </c>
      <c r="P76" s="8">
        <f>O76*(K76/(1-K76))*POWER(L76,K76)*(POWER(N75,1-K76)-POWER(N76,1-K76))+P75</f>
        <v>3267891100.1895542</v>
      </c>
      <c r="Q76" s="9">
        <f t="shared" si="25"/>
        <v>21400.25</v>
      </c>
      <c r="R76" s="4">
        <f t="shared" si="26"/>
        <v>152703.40767932869</v>
      </c>
      <c r="S76" s="3">
        <f t="shared" si="27"/>
        <v>25126736239.971077</v>
      </c>
    </row>
    <row r="77" spans="1:19" x14ac:dyDescent="0.2">
      <c r="A77" t="s">
        <v>78</v>
      </c>
      <c r="B77" s="14">
        <v>0.01</v>
      </c>
      <c r="C77" s="5">
        <f>S59/100</f>
        <v>8.66604160699057E-3</v>
      </c>
      <c r="D77" s="5">
        <f>S58/100</f>
        <v>1.0295919065431475E-2</v>
      </c>
      <c r="E77" s="5">
        <v>100000</v>
      </c>
      <c r="F77" s="5">
        <v>90000</v>
      </c>
      <c r="G77" s="5">
        <f t="shared" si="18"/>
        <v>1.1880763481594807</v>
      </c>
      <c r="H77" s="5">
        <f t="shared" si="19"/>
        <v>0.1723354850029831</v>
      </c>
      <c r="I77" s="5">
        <f t="shared" si="20"/>
        <v>1.1111111111111112</v>
      </c>
      <c r="J77" s="5">
        <f t="shared" si="21"/>
        <v>0.10536051565782635</v>
      </c>
      <c r="K77" s="4">
        <f>H77/J77</f>
        <v>1.6356742744375676</v>
      </c>
      <c r="L77" s="4">
        <f>F77*(D77^(1/K77))</f>
        <v>5485.9043853183939</v>
      </c>
      <c r="M77" s="7">
        <f t="shared" si="22"/>
        <v>5.9877363169982066E-2</v>
      </c>
      <c r="N77" s="8">
        <f t="shared" si="23"/>
        <v>91619.004159298172</v>
      </c>
      <c r="O77">
        <f t="shared" si="24"/>
        <v>4280050</v>
      </c>
      <c r="P77" s="8">
        <f>O77*(K77/(1-K77))*POWER(L77,K77)*(POWER(N76,1-K77)-POWER(N77,1-K77))+P76</f>
        <v>5301498070.7465429</v>
      </c>
      <c r="Q77" s="9">
        <f t="shared" si="25"/>
        <v>42800.5</v>
      </c>
      <c r="R77" s="4">
        <f t="shared" si="26"/>
        <v>123865.33032900417</v>
      </c>
      <c r="S77" s="3">
        <f t="shared" si="27"/>
        <v>40763091430.016472</v>
      </c>
    </row>
    <row r="78" spans="1:19" x14ac:dyDescent="0.2">
      <c r="A78" t="s">
        <v>66</v>
      </c>
      <c r="B78" s="14">
        <v>0.02</v>
      </c>
      <c r="C78" s="5">
        <f>S56/100</f>
        <v>1.9174193544935221E-2</v>
      </c>
      <c r="D78" s="5">
        <f>S55/100</f>
        <v>2.4509205386385669E-2</v>
      </c>
      <c r="E78" s="5">
        <v>70000</v>
      </c>
      <c r="F78" s="5">
        <v>60000</v>
      </c>
      <c r="G78" s="5">
        <f t="shared" si="18"/>
        <v>1.2782391775147002</v>
      </c>
      <c r="H78" s="5">
        <f t="shared" si="19"/>
        <v>0.24548348830000158</v>
      </c>
      <c r="I78" s="5">
        <f t="shared" si="20"/>
        <v>1.1666666666666667</v>
      </c>
      <c r="J78" s="5">
        <f t="shared" si="21"/>
        <v>0.15415067982725836</v>
      </c>
      <c r="K78" s="4">
        <f>H78/J78</f>
        <v>1.5924904682554173</v>
      </c>
      <c r="L78" s="4">
        <f>F78*(D78^(1/K78))</f>
        <v>5844.3333694854955</v>
      </c>
      <c r="M78" s="7">
        <f t="shared" si="22"/>
        <v>8.5730719546373901E-2</v>
      </c>
      <c r="N78" s="8">
        <f t="shared" si="23"/>
        <v>68170.81905307174</v>
      </c>
      <c r="O78">
        <f t="shared" si="24"/>
        <v>4280050</v>
      </c>
      <c r="P78" s="8">
        <f>O78*(K78/(1-K78))*POWER(L78,K78)*(POWER(N77,1-K78)-POWER(N78,1-K78))+P77</f>
        <v>7821564978.4996338</v>
      </c>
      <c r="Q78" s="9">
        <f t="shared" si="25"/>
        <v>85601</v>
      </c>
      <c r="R78" s="4">
        <f t="shared" si="26"/>
        <v>91372.355211967544</v>
      </c>
      <c r="S78" s="3">
        <f t="shared" si="27"/>
        <v>60139825402.124199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28">S32+S73</f>
        <v>20142294520.816216</v>
      </c>
      <c r="C85">
        <f t="shared" ref="C85:C90" si="29">1399800000000*1.23</f>
        <v>1721754000000</v>
      </c>
      <c r="F85" s="10">
        <f t="shared" ref="F85:F90" si="30">B85/C85*100</f>
        <v>1.1698706389423934</v>
      </c>
    </row>
    <row r="86" spans="1:7" ht="15" x14ac:dyDescent="0.25">
      <c r="A86" s="18">
        <v>1E-3</v>
      </c>
      <c r="B86" s="3">
        <f t="shared" si="28"/>
        <v>30314978718.699699</v>
      </c>
      <c r="C86">
        <f t="shared" si="29"/>
        <v>1721754000000</v>
      </c>
      <c r="F86" s="10">
        <f t="shared" si="30"/>
        <v>1.7607032548610138</v>
      </c>
    </row>
    <row r="87" spans="1:7" ht="15" x14ac:dyDescent="0.25">
      <c r="A87" s="18">
        <v>2.5000000000000001E-3</v>
      </c>
      <c r="B87" s="3">
        <f t="shared" si="28"/>
        <v>44283503277.187439</v>
      </c>
      <c r="C87">
        <f t="shared" si="29"/>
        <v>1721754000000</v>
      </c>
      <c r="F87" s="10">
        <f t="shared" si="30"/>
        <v>2.5719994422657035</v>
      </c>
    </row>
    <row r="88" spans="1:7" ht="15" x14ac:dyDescent="0.25">
      <c r="A88" s="18">
        <v>5.0000000000000001E-3</v>
      </c>
      <c r="B88" s="3">
        <f t="shared" si="28"/>
        <v>72701536905.959869</v>
      </c>
      <c r="C88">
        <f t="shared" si="29"/>
        <v>1721754000000</v>
      </c>
      <c r="F88" s="10">
        <f t="shared" si="30"/>
        <v>4.2225275449314985</v>
      </c>
    </row>
    <row r="89" spans="1:7" ht="15" x14ac:dyDescent="0.25">
      <c r="A89" s="19">
        <v>0.01</v>
      </c>
      <c r="B89" s="3">
        <f t="shared" si="28"/>
        <v>116964242818.43881</v>
      </c>
      <c r="C89">
        <f t="shared" si="29"/>
        <v>1721754000000</v>
      </c>
      <c r="F89" s="10">
        <f t="shared" si="30"/>
        <v>6.7933190698809947</v>
      </c>
    </row>
    <row r="90" spans="1:7" ht="15" x14ac:dyDescent="0.25">
      <c r="A90" s="19">
        <v>0.02</v>
      </c>
      <c r="B90" s="3">
        <f t="shared" si="28"/>
        <v>171408864563.17966</v>
      </c>
      <c r="C90">
        <f t="shared" si="29"/>
        <v>1721754000000</v>
      </c>
      <c r="F90" s="10">
        <f t="shared" si="30"/>
        <v>9.9554793869031037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" customWidth="1"/>
    <col min="2" max="2" width="13.140625" customWidth="1"/>
    <col min="3" max="3" width="12.85546875" customWidth="1"/>
    <col min="5" max="5" width="13.85546875" customWidth="1"/>
    <col min="7" max="7" width="13.28515625" customWidth="1"/>
    <col min="9" max="9" width="13.5703125" customWidth="1"/>
    <col min="11" max="11" width="15.140625" customWidth="1"/>
    <col min="13" max="13" width="12.85546875" customWidth="1"/>
    <col min="14" max="14" width="13.85546875" customWidth="1"/>
    <col min="15" max="15" width="13.28515625" customWidth="1"/>
    <col min="16" max="16" width="14" customWidth="1"/>
    <col min="17" max="17" width="20.7109375" customWidth="1"/>
    <col min="18" max="18" width="14.85546875" customWidth="1"/>
    <col min="19" max="19" width="15.5703125" customWidth="1"/>
    <col min="257" max="257" width="14" customWidth="1"/>
    <col min="258" max="258" width="13.140625" customWidth="1"/>
    <col min="259" max="259" width="12.85546875" customWidth="1"/>
    <col min="261" max="261" width="13.85546875" customWidth="1"/>
    <col min="263" max="263" width="13.28515625" customWidth="1"/>
    <col min="265" max="265" width="13.5703125" customWidth="1"/>
    <col min="267" max="267" width="15.140625" customWidth="1"/>
    <col min="269" max="269" width="12.85546875" customWidth="1"/>
    <col min="270" max="270" width="13.85546875" customWidth="1"/>
    <col min="271" max="271" width="13.28515625" customWidth="1"/>
    <col min="272" max="272" width="14" customWidth="1"/>
    <col min="273" max="273" width="20.7109375" customWidth="1"/>
    <col min="274" max="274" width="14.85546875" customWidth="1"/>
    <col min="275" max="275" width="15.5703125" customWidth="1"/>
    <col min="513" max="513" width="14" customWidth="1"/>
    <col min="514" max="514" width="13.140625" customWidth="1"/>
    <col min="515" max="515" width="12.85546875" customWidth="1"/>
    <col min="517" max="517" width="13.85546875" customWidth="1"/>
    <col min="519" max="519" width="13.28515625" customWidth="1"/>
    <col min="521" max="521" width="13.5703125" customWidth="1"/>
    <col min="523" max="523" width="15.140625" customWidth="1"/>
    <col min="525" max="525" width="12.85546875" customWidth="1"/>
    <col min="526" max="526" width="13.85546875" customWidth="1"/>
    <col min="527" max="527" width="13.28515625" customWidth="1"/>
    <col min="528" max="528" width="14" customWidth="1"/>
    <col min="529" max="529" width="20.7109375" customWidth="1"/>
    <col min="530" max="530" width="14.85546875" customWidth="1"/>
    <col min="531" max="531" width="15.5703125" customWidth="1"/>
    <col min="769" max="769" width="14" customWidth="1"/>
    <col min="770" max="770" width="13.140625" customWidth="1"/>
    <col min="771" max="771" width="12.85546875" customWidth="1"/>
    <col min="773" max="773" width="13.85546875" customWidth="1"/>
    <col min="775" max="775" width="13.28515625" customWidth="1"/>
    <col min="777" max="777" width="13.5703125" customWidth="1"/>
    <col min="779" max="779" width="15.140625" customWidth="1"/>
    <col min="781" max="781" width="12.85546875" customWidth="1"/>
    <col min="782" max="782" width="13.85546875" customWidth="1"/>
    <col min="783" max="783" width="13.28515625" customWidth="1"/>
    <col min="784" max="784" width="14" customWidth="1"/>
    <col min="785" max="785" width="20.7109375" customWidth="1"/>
    <col min="786" max="786" width="14.85546875" customWidth="1"/>
    <col min="787" max="787" width="15.5703125" customWidth="1"/>
    <col min="1025" max="1025" width="14" customWidth="1"/>
    <col min="1026" max="1026" width="13.140625" customWidth="1"/>
    <col min="1027" max="1027" width="12.85546875" customWidth="1"/>
    <col min="1029" max="1029" width="13.85546875" customWidth="1"/>
    <col min="1031" max="1031" width="13.28515625" customWidth="1"/>
    <col min="1033" max="1033" width="13.5703125" customWidth="1"/>
    <col min="1035" max="1035" width="15.140625" customWidth="1"/>
    <col min="1037" max="1037" width="12.85546875" customWidth="1"/>
    <col min="1038" max="1038" width="13.85546875" customWidth="1"/>
    <col min="1039" max="1039" width="13.28515625" customWidth="1"/>
    <col min="1040" max="1040" width="14" customWidth="1"/>
    <col min="1041" max="1041" width="20.7109375" customWidth="1"/>
    <col min="1042" max="1042" width="14.85546875" customWidth="1"/>
    <col min="1043" max="1043" width="15.5703125" customWidth="1"/>
    <col min="1281" max="1281" width="14" customWidth="1"/>
    <col min="1282" max="1282" width="13.140625" customWidth="1"/>
    <col min="1283" max="1283" width="12.85546875" customWidth="1"/>
    <col min="1285" max="1285" width="13.85546875" customWidth="1"/>
    <col min="1287" max="1287" width="13.28515625" customWidth="1"/>
    <col min="1289" max="1289" width="13.5703125" customWidth="1"/>
    <col min="1291" max="1291" width="15.140625" customWidth="1"/>
    <col min="1293" max="1293" width="12.85546875" customWidth="1"/>
    <col min="1294" max="1294" width="13.85546875" customWidth="1"/>
    <col min="1295" max="1295" width="13.28515625" customWidth="1"/>
    <col min="1296" max="1296" width="14" customWidth="1"/>
    <col min="1297" max="1297" width="20.7109375" customWidth="1"/>
    <col min="1298" max="1298" width="14.85546875" customWidth="1"/>
    <col min="1299" max="1299" width="15.5703125" customWidth="1"/>
    <col min="1537" max="1537" width="14" customWidth="1"/>
    <col min="1538" max="1538" width="13.140625" customWidth="1"/>
    <col min="1539" max="1539" width="12.85546875" customWidth="1"/>
    <col min="1541" max="1541" width="13.85546875" customWidth="1"/>
    <col min="1543" max="1543" width="13.28515625" customWidth="1"/>
    <col min="1545" max="1545" width="13.5703125" customWidth="1"/>
    <col min="1547" max="1547" width="15.140625" customWidth="1"/>
    <col min="1549" max="1549" width="12.85546875" customWidth="1"/>
    <col min="1550" max="1550" width="13.85546875" customWidth="1"/>
    <col min="1551" max="1551" width="13.28515625" customWidth="1"/>
    <col min="1552" max="1552" width="14" customWidth="1"/>
    <col min="1553" max="1553" width="20.7109375" customWidth="1"/>
    <col min="1554" max="1554" width="14.85546875" customWidth="1"/>
    <col min="1555" max="1555" width="15.5703125" customWidth="1"/>
    <col min="1793" max="1793" width="14" customWidth="1"/>
    <col min="1794" max="1794" width="13.140625" customWidth="1"/>
    <col min="1795" max="1795" width="12.85546875" customWidth="1"/>
    <col min="1797" max="1797" width="13.85546875" customWidth="1"/>
    <col min="1799" max="1799" width="13.28515625" customWidth="1"/>
    <col min="1801" max="1801" width="13.5703125" customWidth="1"/>
    <col min="1803" max="1803" width="15.140625" customWidth="1"/>
    <col min="1805" max="1805" width="12.85546875" customWidth="1"/>
    <col min="1806" max="1806" width="13.85546875" customWidth="1"/>
    <col min="1807" max="1807" width="13.28515625" customWidth="1"/>
    <col min="1808" max="1808" width="14" customWidth="1"/>
    <col min="1809" max="1809" width="20.7109375" customWidth="1"/>
    <col min="1810" max="1810" width="14.85546875" customWidth="1"/>
    <col min="1811" max="1811" width="15.5703125" customWidth="1"/>
    <col min="2049" max="2049" width="14" customWidth="1"/>
    <col min="2050" max="2050" width="13.140625" customWidth="1"/>
    <col min="2051" max="2051" width="12.85546875" customWidth="1"/>
    <col min="2053" max="2053" width="13.85546875" customWidth="1"/>
    <col min="2055" max="2055" width="13.28515625" customWidth="1"/>
    <col min="2057" max="2057" width="13.5703125" customWidth="1"/>
    <col min="2059" max="2059" width="15.140625" customWidth="1"/>
    <col min="2061" max="2061" width="12.85546875" customWidth="1"/>
    <col min="2062" max="2062" width="13.85546875" customWidth="1"/>
    <col min="2063" max="2063" width="13.28515625" customWidth="1"/>
    <col min="2064" max="2064" width="14" customWidth="1"/>
    <col min="2065" max="2065" width="20.7109375" customWidth="1"/>
    <col min="2066" max="2066" width="14.85546875" customWidth="1"/>
    <col min="2067" max="2067" width="15.5703125" customWidth="1"/>
    <col min="2305" max="2305" width="14" customWidth="1"/>
    <col min="2306" max="2306" width="13.140625" customWidth="1"/>
    <col min="2307" max="2307" width="12.85546875" customWidth="1"/>
    <col min="2309" max="2309" width="13.85546875" customWidth="1"/>
    <col min="2311" max="2311" width="13.28515625" customWidth="1"/>
    <col min="2313" max="2313" width="13.5703125" customWidth="1"/>
    <col min="2315" max="2315" width="15.140625" customWidth="1"/>
    <col min="2317" max="2317" width="12.85546875" customWidth="1"/>
    <col min="2318" max="2318" width="13.85546875" customWidth="1"/>
    <col min="2319" max="2319" width="13.28515625" customWidth="1"/>
    <col min="2320" max="2320" width="14" customWidth="1"/>
    <col min="2321" max="2321" width="20.7109375" customWidth="1"/>
    <col min="2322" max="2322" width="14.85546875" customWidth="1"/>
    <col min="2323" max="2323" width="15.5703125" customWidth="1"/>
    <col min="2561" max="2561" width="14" customWidth="1"/>
    <col min="2562" max="2562" width="13.140625" customWidth="1"/>
    <col min="2563" max="2563" width="12.85546875" customWidth="1"/>
    <col min="2565" max="2565" width="13.85546875" customWidth="1"/>
    <col min="2567" max="2567" width="13.28515625" customWidth="1"/>
    <col min="2569" max="2569" width="13.5703125" customWidth="1"/>
    <col min="2571" max="2571" width="15.140625" customWidth="1"/>
    <col min="2573" max="2573" width="12.85546875" customWidth="1"/>
    <col min="2574" max="2574" width="13.85546875" customWidth="1"/>
    <col min="2575" max="2575" width="13.28515625" customWidth="1"/>
    <col min="2576" max="2576" width="14" customWidth="1"/>
    <col min="2577" max="2577" width="20.7109375" customWidth="1"/>
    <col min="2578" max="2578" width="14.85546875" customWidth="1"/>
    <col min="2579" max="2579" width="15.5703125" customWidth="1"/>
    <col min="2817" max="2817" width="14" customWidth="1"/>
    <col min="2818" max="2818" width="13.140625" customWidth="1"/>
    <col min="2819" max="2819" width="12.85546875" customWidth="1"/>
    <col min="2821" max="2821" width="13.85546875" customWidth="1"/>
    <col min="2823" max="2823" width="13.28515625" customWidth="1"/>
    <col min="2825" max="2825" width="13.5703125" customWidth="1"/>
    <col min="2827" max="2827" width="15.140625" customWidth="1"/>
    <col min="2829" max="2829" width="12.85546875" customWidth="1"/>
    <col min="2830" max="2830" width="13.85546875" customWidth="1"/>
    <col min="2831" max="2831" width="13.28515625" customWidth="1"/>
    <col min="2832" max="2832" width="14" customWidth="1"/>
    <col min="2833" max="2833" width="20.7109375" customWidth="1"/>
    <col min="2834" max="2834" width="14.85546875" customWidth="1"/>
    <col min="2835" max="2835" width="15.5703125" customWidth="1"/>
    <col min="3073" max="3073" width="14" customWidth="1"/>
    <col min="3074" max="3074" width="13.140625" customWidth="1"/>
    <col min="3075" max="3075" width="12.85546875" customWidth="1"/>
    <col min="3077" max="3077" width="13.85546875" customWidth="1"/>
    <col min="3079" max="3079" width="13.28515625" customWidth="1"/>
    <col min="3081" max="3081" width="13.5703125" customWidth="1"/>
    <col min="3083" max="3083" width="15.140625" customWidth="1"/>
    <col min="3085" max="3085" width="12.85546875" customWidth="1"/>
    <col min="3086" max="3086" width="13.85546875" customWidth="1"/>
    <col min="3087" max="3087" width="13.28515625" customWidth="1"/>
    <col min="3088" max="3088" width="14" customWidth="1"/>
    <col min="3089" max="3089" width="20.7109375" customWidth="1"/>
    <col min="3090" max="3090" width="14.85546875" customWidth="1"/>
    <col min="3091" max="3091" width="15.5703125" customWidth="1"/>
    <col min="3329" max="3329" width="14" customWidth="1"/>
    <col min="3330" max="3330" width="13.140625" customWidth="1"/>
    <col min="3331" max="3331" width="12.85546875" customWidth="1"/>
    <col min="3333" max="3333" width="13.85546875" customWidth="1"/>
    <col min="3335" max="3335" width="13.28515625" customWidth="1"/>
    <col min="3337" max="3337" width="13.5703125" customWidth="1"/>
    <col min="3339" max="3339" width="15.140625" customWidth="1"/>
    <col min="3341" max="3341" width="12.85546875" customWidth="1"/>
    <col min="3342" max="3342" width="13.85546875" customWidth="1"/>
    <col min="3343" max="3343" width="13.28515625" customWidth="1"/>
    <col min="3344" max="3344" width="14" customWidth="1"/>
    <col min="3345" max="3345" width="20.7109375" customWidth="1"/>
    <col min="3346" max="3346" width="14.85546875" customWidth="1"/>
    <col min="3347" max="3347" width="15.5703125" customWidth="1"/>
    <col min="3585" max="3585" width="14" customWidth="1"/>
    <col min="3586" max="3586" width="13.140625" customWidth="1"/>
    <col min="3587" max="3587" width="12.85546875" customWidth="1"/>
    <col min="3589" max="3589" width="13.85546875" customWidth="1"/>
    <col min="3591" max="3591" width="13.28515625" customWidth="1"/>
    <col min="3593" max="3593" width="13.5703125" customWidth="1"/>
    <col min="3595" max="3595" width="15.140625" customWidth="1"/>
    <col min="3597" max="3597" width="12.85546875" customWidth="1"/>
    <col min="3598" max="3598" width="13.85546875" customWidth="1"/>
    <col min="3599" max="3599" width="13.28515625" customWidth="1"/>
    <col min="3600" max="3600" width="14" customWidth="1"/>
    <col min="3601" max="3601" width="20.7109375" customWidth="1"/>
    <col min="3602" max="3602" width="14.85546875" customWidth="1"/>
    <col min="3603" max="3603" width="15.5703125" customWidth="1"/>
    <col min="3841" max="3841" width="14" customWidth="1"/>
    <col min="3842" max="3842" width="13.140625" customWidth="1"/>
    <col min="3843" max="3843" width="12.85546875" customWidth="1"/>
    <col min="3845" max="3845" width="13.85546875" customWidth="1"/>
    <col min="3847" max="3847" width="13.28515625" customWidth="1"/>
    <col min="3849" max="3849" width="13.5703125" customWidth="1"/>
    <col min="3851" max="3851" width="15.140625" customWidth="1"/>
    <col min="3853" max="3853" width="12.85546875" customWidth="1"/>
    <col min="3854" max="3854" width="13.85546875" customWidth="1"/>
    <col min="3855" max="3855" width="13.28515625" customWidth="1"/>
    <col min="3856" max="3856" width="14" customWidth="1"/>
    <col min="3857" max="3857" width="20.7109375" customWidth="1"/>
    <col min="3858" max="3858" width="14.85546875" customWidth="1"/>
    <col min="3859" max="3859" width="15.5703125" customWidth="1"/>
    <col min="4097" max="4097" width="14" customWidth="1"/>
    <col min="4098" max="4098" width="13.140625" customWidth="1"/>
    <col min="4099" max="4099" width="12.85546875" customWidth="1"/>
    <col min="4101" max="4101" width="13.85546875" customWidth="1"/>
    <col min="4103" max="4103" width="13.28515625" customWidth="1"/>
    <col min="4105" max="4105" width="13.5703125" customWidth="1"/>
    <col min="4107" max="4107" width="15.140625" customWidth="1"/>
    <col min="4109" max="4109" width="12.85546875" customWidth="1"/>
    <col min="4110" max="4110" width="13.85546875" customWidth="1"/>
    <col min="4111" max="4111" width="13.28515625" customWidth="1"/>
    <col min="4112" max="4112" width="14" customWidth="1"/>
    <col min="4113" max="4113" width="20.7109375" customWidth="1"/>
    <col min="4114" max="4114" width="14.85546875" customWidth="1"/>
    <col min="4115" max="4115" width="15.5703125" customWidth="1"/>
    <col min="4353" max="4353" width="14" customWidth="1"/>
    <col min="4354" max="4354" width="13.140625" customWidth="1"/>
    <col min="4355" max="4355" width="12.85546875" customWidth="1"/>
    <col min="4357" max="4357" width="13.85546875" customWidth="1"/>
    <col min="4359" max="4359" width="13.28515625" customWidth="1"/>
    <col min="4361" max="4361" width="13.5703125" customWidth="1"/>
    <col min="4363" max="4363" width="15.140625" customWidth="1"/>
    <col min="4365" max="4365" width="12.85546875" customWidth="1"/>
    <col min="4366" max="4366" width="13.85546875" customWidth="1"/>
    <col min="4367" max="4367" width="13.28515625" customWidth="1"/>
    <col min="4368" max="4368" width="14" customWidth="1"/>
    <col min="4369" max="4369" width="20.7109375" customWidth="1"/>
    <col min="4370" max="4370" width="14.85546875" customWidth="1"/>
    <col min="4371" max="4371" width="15.5703125" customWidth="1"/>
    <col min="4609" max="4609" width="14" customWidth="1"/>
    <col min="4610" max="4610" width="13.140625" customWidth="1"/>
    <col min="4611" max="4611" width="12.85546875" customWidth="1"/>
    <col min="4613" max="4613" width="13.85546875" customWidth="1"/>
    <col min="4615" max="4615" width="13.28515625" customWidth="1"/>
    <col min="4617" max="4617" width="13.5703125" customWidth="1"/>
    <col min="4619" max="4619" width="15.140625" customWidth="1"/>
    <col min="4621" max="4621" width="12.85546875" customWidth="1"/>
    <col min="4622" max="4622" width="13.85546875" customWidth="1"/>
    <col min="4623" max="4623" width="13.28515625" customWidth="1"/>
    <col min="4624" max="4624" width="14" customWidth="1"/>
    <col min="4625" max="4625" width="20.7109375" customWidth="1"/>
    <col min="4626" max="4626" width="14.85546875" customWidth="1"/>
    <col min="4627" max="4627" width="15.5703125" customWidth="1"/>
    <col min="4865" max="4865" width="14" customWidth="1"/>
    <col min="4866" max="4866" width="13.140625" customWidth="1"/>
    <col min="4867" max="4867" width="12.85546875" customWidth="1"/>
    <col min="4869" max="4869" width="13.85546875" customWidth="1"/>
    <col min="4871" max="4871" width="13.28515625" customWidth="1"/>
    <col min="4873" max="4873" width="13.5703125" customWidth="1"/>
    <col min="4875" max="4875" width="15.140625" customWidth="1"/>
    <col min="4877" max="4877" width="12.85546875" customWidth="1"/>
    <col min="4878" max="4878" width="13.85546875" customWidth="1"/>
    <col min="4879" max="4879" width="13.28515625" customWidth="1"/>
    <col min="4880" max="4880" width="14" customWidth="1"/>
    <col min="4881" max="4881" width="20.7109375" customWidth="1"/>
    <col min="4882" max="4882" width="14.85546875" customWidth="1"/>
    <col min="4883" max="4883" width="15.5703125" customWidth="1"/>
    <col min="5121" max="5121" width="14" customWidth="1"/>
    <col min="5122" max="5122" width="13.140625" customWidth="1"/>
    <col min="5123" max="5123" width="12.85546875" customWidth="1"/>
    <col min="5125" max="5125" width="13.85546875" customWidth="1"/>
    <col min="5127" max="5127" width="13.28515625" customWidth="1"/>
    <col min="5129" max="5129" width="13.5703125" customWidth="1"/>
    <col min="5131" max="5131" width="15.140625" customWidth="1"/>
    <col min="5133" max="5133" width="12.85546875" customWidth="1"/>
    <col min="5134" max="5134" width="13.85546875" customWidth="1"/>
    <col min="5135" max="5135" width="13.28515625" customWidth="1"/>
    <col min="5136" max="5136" width="14" customWidth="1"/>
    <col min="5137" max="5137" width="20.7109375" customWidth="1"/>
    <col min="5138" max="5138" width="14.85546875" customWidth="1"/>
    <col min="5139" max="5139" width="15.5703125" customWidth="1"/>
    <col min="5377" max="5377" width="14" customWidth="1"/>
    <col min="5378" max="5378" width="13.140625" customWidth="1"/>
    <col min="5379" max="5379" width="12.85546875" customWidth="1"/>
    <col min="5381" max="5381" width="13.85546875" customWidth="1"/>
    <col min="5383" max="5383" width="13.28515625" customWidth="1"/>
    <col min="5385" max="5385" width="13.5703125" customWidth="1"/>
    <col min="5387" max="5387" width="15.140625" customWidth="1"/>
    <col min="5389" max="5389" width="12.85546875" customWidth="1"/>
    <col min="5390" max="5390" width="13.85546875" customWidth="1"/>
    <col min="5391" max="5391" width="13.28515625" customWidth="1"/>
    <col min="5392" max="5392" width="14" customWidth="1"/>
    <col min="5393" max="5393" width="20.7109375" customWidth="1"/>
    <col min="5394" max="5394" width="14.85546875" customWidth="1"/>
    <col min="5395" max="5395" width="15.5703125" customWidth="1"/>
    <col min="5633" max="5633" width="14" customWidth="1"/>
    <col min="5634" max="5634" width="13.140625" customWidth="1"/>
    <col min="5635" max="5635" width="12.85546875" customWidth="1"/>
    <col min="5637" max="5637" width="13.85546875" customWidth="1"/>
    <col min="5639" max="5639" width="13.28515625" customWidth="1"/>
    <col min="5641" max="5641" width="13.5703125" customWidth="1"/>
    <col min="5643" max="5643" width="15.140625" customWidth="1"/>
    <col min="5645" max="5645" width="12.85546875" customWidth="1"/>
    <col min="5646" max="5646" width="13.85546875" customWidth="1"/>
    <col min="5647" max="5647" width="13.28515625" customWidth="1"/>
    <col min="5648" max="5648" width="14" customWidth="1"/>
    <col min="5649" max="5649" width="20.7109375" customWidth="1"/>
    <col min="5650" max="5650" width="14.85546875" customWidth="1"/>
    <col min="5651" max="5651" width="15.5703125" customWidth="1"/>
    <col min="5889" max="5889" width="14" customWidth="1"/>
    <col min="5890" max="5890" width="13.140625" customWidth="1"/>
    <col min="5891" max="5891" width="12.85546875" customWidth="1"/>
    <col min="5893" max="5893" width="13.85546875" customWidth="1"/>
    <col min="5895" max="5895" width="13.28515625" customWidth="1"/>
    <col min="5897" max="5897" width="13.5703125" customWidth="1"/>
    <col min="5899" max="5899" width="15.140625" customWidth="1"/>
    <col min="5901" max="5901" width="12.85546875" customWidth="1"/>
    <col min="5902" max="5902" width="13.85546875" customWidth="1"/>
    <col min="5903" max="5903" width="13.28515625" customWidth="1"/>
    <col min="5904" max="5904" width="14" customWidth="1"/>
    <col min="5905" max="5905" width="20.7109375" customWidth="1"/>
    <col min="5906" max="5906" width="14.85546875" customWidth="1"/>
    <col min="5907" max="5907" width="15.5703125" customWidth="1"/>
    <col min="6145" max="6145" width="14" customWidth="1"/>
    <col min="6146" max="6146" width="13.140625" customWidth="1"/>
    <col min="6147" max="6147" width="12.85546875" customWidth="1"/>
    <col min="6149" max="6149" width="13.85546875" customWidth="1"/>
    <col min="6151" max="6151" width="13.28515625" customWidth="1"/>
    <col min="6153" max="6153" width="13.5703125" customWidth="1"/>
    <col min="6155" max="6155" width="15.140625" customWidth="1"/>
    <col min="6157" max="6157" width="12.85546875" customWidth="1"/>
    <col min="6158" max="6158" width="13.85546875" customWidth="1"/>
    <col min="6159" max="6159" width="13.28515625" customWidth="1"/>
    <col min="6160" max="6160" width="14" customWidth="1"/>
    <col min="6161" max="6161" width="20.7109375" customWidth="1"/>
    <col min="6162" max="6162" width="14.85546875" customWidth="1"/>
    <col min="6163" max="6163" width="15.5703125" customWidth="1"/>
    <col min="6401" max="6401" width="14" customWidth="1"/>
    <col min="6402" max="6402" width="13.140625" customWidth="1"/>
    <col min="6403" max="6403" width="12.85546875" customWidth="1"/>
    <col min="6405" max="6405" width="13.85546875" customWidth="1"/>
    <col min="6407" max="6407" width="13.28515625" customWidth="1"/>
    <col min="6409" max="6409" width="13.5703125" customWidth="1"/>
    <col min="6411" max="6411" width="15.140625" customWidth="1"/>
    <col min="6413" max="6413" width="12.85546875" customWidth="1"/>
    <col min="6414" max="6414" width="13.85546875" customWidth="1"/>
    <col min="6415" max="6415" width="13.28515625" customWidth="1"/>
    <col min="6416" max="6416" width="14" customWidth="1"/>
    <col min="6417" max="6417" width="20.7109375" customWidth="1"/>
    <col min="6418" max="6418" width="14.85546875" customWidth="1"/>
    <col min="6419" max="6419" width="15.5703125" customWidth="1"/>
    <col min="6657" max="6657" width="14" customWidth="1"/>
    <col min="6658" max="6658" width="13.140625" customWidth="1"/>
    <col min="6659" max="6659" width="12.85546875" customWidth="1"/>
    <col min="6661" max="6661" width="13.85546875" customWidth="1"/>
    <col min="6663" max="6663" width="13.28515625" customWidth="1"/>
    <col min="6665" max="6665" width="13.5703125" customWidth="1"/>
    <col min="6667" max="6667" width="15.140625" customWidth="1"/>
    <col min="6669" max="6669" width="12.85546875" customWidth="1"/>
    <col min="6670" max="6670" width="13.85546875" customWidth="1"/>
    <col min="6671" max="6671" width="13.28515625" customWidth="1"/>
    <col min="6672" max="6672" width="14" customWidth="1"/>
    <col min="6673" max="6673" width="20.7109375" customWidth="1"/>
    <col min="6674" max="6674" width="14.85546875" customWidth="1"/>
    <col min="6675" max="6675" width="15.5703125" customWidth="1"/>
    <col min="6913" max="6913" width="14" customWidth="1"/>
    <col min="6914" max="6914" width="13.140625" customWidth="1"/>
    <col min="6915" max="6915" width="12.85546875" customWidth="1"/>
    <col min="6917" max="6917" width="13.85546875" customWidth="1"/>
    <col min="6919" max="6919" width="13.28515625" customWidth="1"/>
    <col min="6921" max="6921" width="13.5703125" customWidth="1"/>
    <col min="6923" max="6923" width="15.140625" customWidth="1"/>
    <col min="6925" max="6925" width="12.85546875" customWidth="1"/>
    <col min="6926" max="6926" width="13.85546875" customWidth="1"/>
    <col min="6927" max="6927" width="13.28515625" customWidth="1"/>
    <col min="6928" max="6928" width="14" customWidth="1"/>
    <col min="6929" max="6929" width="20.7109375" customWidth="1"/>
    <col min="6930" max="6930" width="14.85546875" customWidth="1"/>
    <col min="6931" max="6931" width="15.5703125" customWidth="1"/>
    <col min="7169" max="7169" width="14" customWidth="1"/>
    <col min="7170" max="7170" width="13.140625" customWidth="1"/>
    <col min="7171" max="7171" width="12.85546875" customWidth="1"/>
    <col min="7173" max="7173" width="13.85546875" customWidth="1"/>
    <col min="7175" max="7175" width="13.28515625" customWidth="1"/>
    <col min="7177" max="7177" width="13.5703125" customWidth="1"/>
    <col min="7179" max="7179" width="15.140625" customWidth="1"/>
    <col min="7181" max="7181" width="12.85546875" customWidth="1"/>
    <col min="7182" max="7182" width="13.85546875" customWidth="1"/>
    <col min="7183" max="7183" width="13.28515625" customWidth="1"/>
    <col min="7184" max="7184" width="14" customWidth="1"/>
    <col min="7185" max="7185" width="20.7109375" customWidth="1"/>
    <col min="7186" max="7186" width="14.85546875" customWidth="1"/>
    <col min="7187" max="7187" width="15.5703125" customWidth="1"/>
    <col min="7425" max="7425" width="14" customWidth="1"/>
    <col min="7426" max="7426" width="13.140625" customWidth="1"/>
    <col min="7427" max="7427" width="12.85546875" customWidth="1"/>
    <col min="7429" max="7429" width="13.85546875" customWidth="1"/>
    <col min="7431" max="7431" width="13.28515625" customWidth="1"/>
    <col min="7433" max="7433" width="13.5703125" customWidth="1"/>
    <col min="7435" max="7435" width="15.140625" customWidth="1"/>
    <col min="7437" max="7437" width="12.85546875" customWidth="1"/>
    <col min="7438" max="7438" width="13.85546875" customWidth="1"/>
    <col min="7439" max="7439" width="13.28515625" customWidth="1"/>
    <col min="7440" max="7440" width="14" customWidth="1"/>
    <col min="7441" max="7441" width="20.7109375" customWidth="1"/>
    <col min="7442" max="7442" width="14.85546875" customWidth="1"/>
    <col min="7443" max="7443" width="15.5703125" customWidth="1"/>
    <col min="7681" max="7681" width="14" customWidth="1"/>
    <col min="7682" max="7682" width="13.140625" customWidth="1"/>
    <col min="7683" max="7683" width="12.85546875" customWidth="1"/>
    <col min="7685" max="7685" width="13.85546875" customWidth="1"/>
    <col min="7687" max="7687" width="13.28515625" customWidth="1"/>
    <col min="7689" max="7689" width="13.5703125" customWidth="1"/>
    <col min="7691" max="7691" width="15.140625" customWidth="1"/>
    <col min="7693" max="7693" width="12.85546875" customWidth="1"/>
    <col min="7694" max="7694" width="13.85546875" customWidth="1"/>
    <col min="7695" max="7695" width="13.28515625" customWidth="1"/>
    <col min="7696" max="7696" width="14" customWidth="1"/>
    <col min="7697" max="7697" width="20.7109375" customWidth="1"/>
    <col min="7698" max="7698" width="14.85546875" customWidth="1"/>
    <col min="7699" max="7699" width="15.5703125" customWidth="1"/>
    <col min="7937" max="7937" width="14" customWidth="1"/>
    <col min="7938" max="7938" width="13.140625" customWidth="1"/>
    <col min="7939" max="7939" width="12.85546875" customWidth="1"/>
    <col min="7941" max="7941" width="13.85546875" customWidth="1"/>
    <col min="7943" max="7943" width="13.28515625" customWidth="1"/>
    <col min="7945" max="7945" width="13.5703125" customWidth="1"/>
    <col min="7947" max="7947" width="15.140625" customWidth="1"/>
    <col min="7949" max="7949" width="12.85546875" customWidth="1"/>
    <col min="7950" max="7950" width="13.85546875" customWidth="1"/>
    <col min="7951" max="7951" width="13.28515625" customWidth="1"/>
    <col min="7952" max="7952" width="14" customWidth="1"/>
    <col min="7953" max="7953" width="20.7109375" customWidth="1"/>
    <col min="7954" max="7954" width="14.85546875" customWidth="1"/>
    <col min="7955" max="7955" width="15.5703125" customWidth="1"/>
    <col min="8193" max="8193" width="14" customWidth="1"/>
    <col min="8194" max="8194" width="13.140625" customWidth="1"/>
    <col min="8195" max="8195" width="12.85546875" customWidth="1"/>
    <col min="8197" max="8197" width="13.85546875" customWidth="1"/>
    <col min="8199" max="8199" width="13.28515625" customWidth="1"/>
    <col min="8201" max="8201" width="13.5703125" customWidth="1"/>
    <col min="8203" max="8203" width="15.140625" customWidth="1"/>
    <col min="8205" max="8205" width="12.85546875" customWidth="1"/>
    <col min="8206" max="8206" width="13.85546875" customWidth="1"/>
    <col min="8207" max="8207" width="13.28515625" customWidth="1"/>
    <col min="8208" max="8208" width="14" customWidth="1"/>
    <col min="8209" max="8209" width="20.7109375" customWidth="1"/>
    <col min="8210" max="8210" width="14.85546875" customWidth="1"/>
    <col min="8211" max="8211" width="15.5703125" customWidth="1"/>
    <col min="8449" max="8449" width="14" customWidth="1"/>
    <col min="8450" max="8450" width="13.140625" customWidth="1"/>
    <col min="8451" max="8451" width="12.85546875" customWidth="1"/>
    <col min="8453" max="8453" width="13.85546875" customWidth="1"/>
    <col min="8455" max="8455" width="13.28515625" customWidth="1"/>
    <col min="8457" max="8457" width="13.5703125" customWidth="1"/>
    <col min="8459" max="8459" width="15.140625" customWidth="1"/>
    <col min="8461" max="8461" width="12.85546875" customWidth="1"/>
    <col min="8462" max="8462" width="13.85546875" customWidth="1"/>
    <col min="8463" max="8463" width="13.28515625" customWidth="1"/>
    <col min="8464" max="8464" width="14" customWidth="1"/>
    <col min="8465" max="8465" width="20.7109375" customWidth="1"/>
    <col min="8466" max="8466" width="14.85546875" customWidth="1"/>
    <col min="8467" max="8467" width="15.5703125" customWidth="1"/>
    <col min="8705" max="8705" width="14" customWidth="1"/>
    <col min="8706" max="8706" width="13.140625" customWidth="1"/>
    <col min="8707" max="8707" width="12.85546875" customWidth="1"/>
    <col min="8709" max="8709" width="13.85546875" customWidth="1"/>
    <col min="8711" max="8711" width="13.28515625" customWidth="1"/>
    <col min="8713" max="8713" width="13.5703125" customWidth="1"/>
    <col min="8715" max="8715" width="15.140625" customWidth="1"/>
    <col min="8717" max="8717" width="12.85546875" customWidth="1"/>
    <col min="8718" max="8718" width="13.85546875" customWidth="1"/>
    <col min="8719" max="8719" width="13.28515625" customWidth="1"/>
    <col min="8720" max="8720" width="14" customWidth="1"/>
    <col min="8721" max="8721" width="20.7109375" customWidth="1"/>
    <col min="8722" max="8722" width="14.85546875" customWidth="1"/>
    <col min="8723" max="8723" width="15.5703125" customWidth="1"/>
    <col min="8961" max="8961" width="14" customWidth="1"/>
    <col min="8962" max="8962" width="13.140625" customWidth="1"/>
    <col min="8963" max="8963" width="12.85546875" customWidth="1"/>
    <col min="8965" max="8965" width="13.85546875" customWidth="1"/>
    <col min="8967" max="8967" width="13.28515625" customWidth="1"/>
    <col min="8969" max="8969" width="13.5703125" customWidth="1"/>
    <col min="8971" max="8971" width="15.140625" customWidth="1"/>
    <col min="8973" max="8973" width="12.85546875" customWidth="1"/>
    <col min="8974" max="8974" width="13.85546875" customWidth="1"/>
    <col min="8975" max="8975" width="13.28515625" customWidth="1"/>
    <col min="8976" max="8976" width="14" customWidth="1"/>
    <col min="8977" max="8977" width="20.7109375" customWidth="1"/>
    <col min="8978" max="8978" width="14.85546875" customWidth="1"/>
    <col min="8979" max="8979" width="15.5703125" customWidth="1"/>
    <col min="9217" max="9217" width="14" customWidth="1"/>
    <col min="9218" max="9218" width="13.140625" customWidth="1"/>
    <col min="9219" max="9219" width="12.85546875" customWidth="1"/>
    <col min="9221" max="9221" width="13.85546875" customWidth="1"/>
    <col min="9223" max="9223" width="13.28515625" customWidth="1"/>
    <col min="9225" max="9225" width="13.5703125" customWidth="1"/>
    <col min="9227" max="9227" width="15.140625" customWidth="1"/>
    <col min="9229" max="9229" width="12.85546875" customWidth="1"/>
    <col min="9230" max="9230" width="13.85546875" customWidth="1"/>
    <col min="9231" max="9231" width="13.28515625" customWidth="1"/>
    <col min="9232" max="9232" width="14" customWidth="1"/>
    <col min="9233" max="9233" width="20.7109375" customWidth="1"/>
    <col min="9234" max="9234" width="14.85546875" customWidth="1"/>
    <col min="9235" max="9235" width="15.5703125" customWidth="1"/>
    <col min="9473" max="9473" width="14" customWidth="1"/>
    <col min="9474" max="9474" width="13.140625" customWidth="1"/>
    <col min="9475" max="9475" width="12.85546875" customWidth="1"/>
    <col min="9477" max="9477" width="13.85546875" customWidth="1"/>
    <col min="9479" max="9479" width="13.28515625" customWidth="1"/>
    <col min="9481" max="9481" width="13.5703125" customWidth="1"/>
    <col min="9483" max="9483" width="15.140625" customWidth="1"/>
    <col min="9485" max="9485" width="12.85546875" customWidth="1"/>
    <col min="9486" max="9486" width="13.85546875" customWidth="1"/>
    <col min="9487" max="9487" width="13.28515625" customWidth="1"/>
    <col min="9488" max="9488" width="14" customWidth="1"/>
    <col min="9489" max="9489" width="20.7109375" customWidth="1"/>
    <col min="9490" max="9490" width="14.85546875" customWidth="1"/>
    <col min="9491" max="9491" width="15.5703125" customWidth="1"/>
    <col min="9729" max="9729" width="14" customWidth="1"/>
    <col min="9730" max="9730" width="13.140625" customWidth="1"/>
    <col min="9731" max="9731" width="12.85546875" customWidth="1"/>
    <col min="9733" max="9733" width="13.85546875" customWidth="1"/>
    <col min="9735" max="9735" width="13.28515625" customWidth="1"/>
    <col min="9737" max="9737" width="13.5703125" customWidth="1"/>
    <col min="9739" max="9739" width="15.140625" customWidth="1"/>
    <col min="9741" max="9741" width="12.85546875" customWidth="1"/>
    <col min="9742" max="9742" width="13.85546875" customWidth="1"/>
    <col min="9743" max="9743" width="13.28515625" customWidth="1"/>
    <col min="9744" max="9744" width="14" customWidth="1"/>
    <col min="9745" max="9745" width="20.7109375" customWidth="1"/>
    <col min="9746" max="9746" width="14.85546875" customWidth="1"/>
    <col min="9747" max="9747" width="15.5703125" customWidth="1"/>
    <col min="9985" max="9985" width="14" customWidth="1"/>
    <col min="9986" max="9986" width="13.140625" customWidth="1"/>
    <col min="9987" max="9987" width="12.85546875" customWidth="1"/>
    <col min="9989" max="9989" width="13.85546875" customWidth="1"/>
    <col min="9991" max="9991" width="13.28515625" customWidth="1"/>
    <col min="9993" max="9993" width="13.5703125" customWidth="1"/>
    <col min="9995" max="9995" width="15.140625" customWidth="1"/>
    <col min="9997" max="9997" width="12.85546875" customWidth="1"/>
    <col min="9998" max="9998" width="13.85546875" customWidth="1"/>
    <col min="9999" max="9999" width="13.28515625" customWidth="1"/>
    <col min="10000" max="10000" width="14" customWidth="1"/>
    <col min="10001" max="10001" width="20.7109375" customWidth="1"/>
    <col min="10002" max="10002" width="14.85546875" customWidth="1"/>
    <col min="10003" max="10003" width="15.5703125" customWidth="1"/>
    <col min="10241" max="10241" width="14" customWidth="1"/>
    <col min="10242" max="10242" width="13.140625" customWidth="1"/>
    <col min="10243" max="10243" width="12.85546875" customWidth="1"/>
    <col min="10245" max="10245" width="13.85546875" customWidth="1"/>
    <col min="10247" max="10247" width="13.28515625" customWidth="1"/>
    <col min="10249" max="10249" width="13.5703125" customWidth="1"/>
    <col min="10251" max="10251" width="15.140625" customWidth="1"/>
    <col min="10253" max="10253" width="12.85546875" customWidth="1"/>
    <col min="10254" max="10254" width="13.85546875" customWidth="1"/>
    <col min="10255" max="10255" width="13.28515625" customWidth="1"/>
    <col min="10256" max="10256" width="14" customWidth="1"/>
    <col min="10257" max="10257" width="20.7109375" customWidth="1"/>
    <col min="10258" max="10258" width="14.85546875" customWidth="1"/>
    <col min="10259" max="10259" width="15.5703125" customWidth="1"/>
    <col min="10497" max="10497" width="14" customWidth="1"/>
    <col min="10498" max="10498" width="13.140625" customWidth="1"/>
    <col min="10499" max="10499" width="12.85546875" customWidth="1"/>
    <col min="10501" max="10501" width="13.85546875" customWidth="1"/>
    <col min="10503" max="10503" width="13.28515625" customWidth="1"/>
    <col min="10505" max="10505" width="13.5703125" customWidth="1"/>
    <col min="10507" max="10507" width="15.140625" customWidth="1"/>
    <col min="10509" max="10509" width="12.85546875" customWidth="1"/>
    <col min="10510" max="10510" width="13.85546875" customWidth="1"/>
    <col min="10511" max="10511" width="13.28515625" customWidth="1"/>
    <col min="10512" max="10512" width="14" customWidth="1"/>
    <col min="10513" max="10513" width="20.7109375" customWidth="1"/>
    <col min="10514" max="10514" width="14.85546875" customWidth="1"/>
    <col min="10515" max="10515" width="15.5703125" customWidth="1"/>
    <col min="10753" max="10753" width="14" customWidth="1"/>
    <col min="10754" max="10754" width="13.140625" customWidth="1"/>
    <col min="10755" max="10755" width="12.85546875" customWidth="1"/>
    <col min="10757" max="10757" width="13.85546875" customWidth="1"/>
    <col min="10759" max="10759" width="13.28515625" customWidth="1"/>
    <col min="10761" max="10761" width="13.5703125" customWidth="1"/>
    <col min="10763" max="10763" width="15.140625" customWidth="1"/>
    <col min="10765" max="10765" width="12.85546875" customWidth="1"/>
    <col min="10766" max="10766" width="13.85546875" customWidth="1"/>
    <col min="10767" max="10767" width="13.28515625" customWidth="1"/>
    <col min="10768" max="10768" width="14" customWidth="1"/>
    <col min="10769" max="10769" width="20.7109375" customWidth="1"/>
    <col min="10770" max="10770" width="14.85546875" customWidth="1"/>
    <col min="10771" max="10771" width="15.5703125" customWidth="1"/>
    <col min="11009" max="11009" width="14" customWidth="1"/>
    <col min="11010" max="11010" width="13.140625" customWidth="1"/>
    <col min="11011" max="11011" width="12.85546875" customWidth="1"/>
    <col min="11013" max="11013" width="13.85546875" customWidth="1"/>
    <col min="11015" max="11015" width="13.28515625" customWidth="1"/>
    <col min="11017" max="11017" width="13.5703125" customWidth="1"/>
    <col min="11019" max="11019" width="15.140625" customWidth="1"/>
    <col min="11021" max="11021" width="12.85546875" customWidth="1"/>
    <col min="11022" max="11022" width="13.85546875" customWidth="1"/>
    <col min="11023" max="11023" width="13.28515625" customWidth="1"/>
    <col min="11024" max="11024" width="14" customWidth="1"/>
    <col min="11025" max="11025" width="20.7109375" customWidth="1"/>
    <col min="11026" max="11026" width="14.85546875" customWidth="1"/>
    <col min="11027" max="11027" width="15.5703125" customWidth="1"/>
    <col min="11265" max="11265" width="14" customWidth="1"/>
    <col min="11266" max="11266" width="13.140625" customWidth="1"/>
    <col min="11267" max="11267" width="12.85546875" customWidth="1"/>
    <col min="11269" max="11269" width="13.85546875" customWidth="1"/>
    <col min="11271" max="11271" width="13.28515625" customWidth="1"/>
    <col min="11273" max="11273" width="13.5703125" customWidth="1"/>
    <col min="11275" max="11275" width="15.140625" customWidth="1"/>
    <col min="11277" max="11277" width="12.85546875" customWidth="1"/>
    <col min="11278" max="11278" width="13.85546875" customWidth="1"/>
    <col min="11279" max="11279" width="13.28515625" customWidth="1"/>
    <col min="11280" max="11280" width="14" customWidth="1"/>
    <col min="11281" max="11281" width="20.7109375" customWidth="1"/>
    <col min="11282" max="11282" width="14.85546875" customWidth="1"/>
    <col min="11283" max="11283" width="15.5703125" customWidth="1"/>
    <col min="11521" max="11521" width="14" customWidth="1"/>
    <col min="11522" max="11522" width="13.140625" customWidth="1"/>
    <col min="11523" max="11523" width="12.85546875" customWidth="1"/>
    <col min="11525" max="11525" width="13.85546875" customWidth="1"/>
    <col min="11527" max="11527" width="13.28515625" customWidth="1"/>
    <col min="11529" max="11529" width="13.5703125" customWidth="1"/>
    <col min="11531" max="11531" width="15.140625" customWidth="1"/>
    <col min="11533" max="11533" width="12.85546875" customWidth="1"/>
    <col min="11534" max="11534" width="13.85546875" customWidth="1"/>
    <col min="11535" max="11535" width="13.28515625" customWidth="1"/>
    <col min="11536" max="11536" width="14" customWidth="1"/>
    <col min="11537" max="11537" width="20.7109375" customWidth="1"/>
    <col min="11538" max="11538" width="14.85546875" customWidth="1"/>
    <col min="11539" max="11539" width="15.5703125" customWidth="1"/>
    <col min="11777" max="11777" width="14" customWidth="1"/>
    <col min="11778" max="11778" width="13.140625" customWidth="1"/>
    <col min="11779" max="11779" width="12.85546875" customWidth="1"/>
    <col min="11781" max="11781" width="13.85546875" customWidth="1"/>
    <col min="11783" max="11783" width="13.28515625" customWidth="1"/>
    <col min="11785" max="11785" width="13.5703125" customWidth="1"/>
    <col min="11787" max="11787" width="15.140625" customWidth="1"/>
    <col min="11789" max="11789" width="12.85546875" customWidth="1"/>
    <col min="11790" max="11790" width="13.85546875" customWidth="1"/>
    <col min="11791" max="11791" width="13.28515625" customWidth="1"/>
    <col min="11792" max="11792" width="14" customWidth="1"/>
    <col min="11793" max="11793" width="20.7109375" customWidth="1"/>
    <col min="11794" max="11794" width="14.85546875" customWidth="1"/>
    <col min="11795" max="11795" width="15.5703125" customWidth="1"/>
    <col min="12033" max="12033" width="14" customWidth="1"/>
    <col min="12034" max="12034" width="13.140625" customWidth="1"/>
    <col min="12035" max="12035" width="12.85546875" customWidth="1"/>
    <col min="12037" max="12037" width="13.85546875" customWidth="1"/>
    <col min="12039" max="12039" width="13.28515625" customWidth="1"/>
    <col min="12041" max="12041" width="13.5703125" customWidth="1"/>
    <col min="12043" max="12043" width="15.140625" customWidth="1"/>
    <col min="12045" max="12045" width="12.85546875" customWidth="1"/>
    <col min="12046" max="12046" width="13.85546875" customWidth="1"/>
    <col min="12047" max="12047" width="13.28515625" customWidth="1"/>
    <col min="12048" max="12048" width="14" customWidth="1"/>
    <col min="12049" max="12049" width="20.7109375" customWidth="1"/>
    <col min="12050" max="12050" width="14.85546875" customWidth="1"/>
    <col min="12051" max="12051" width="15.5703125" customWidth="1"/>
    <col min="12289" max="12289" width="14" customWidth="1"/>
    <col min="12290" max="12290" width="13.140625" customWidth="1"/>
    <col min="12291" max="12291" width="12.85546875" customWidth="1"/>
    <col min="12293" max="12293" width="13.85546875" customWidth="1"/>
    <col min="12295" max="12295" width="13.28515625" customWidth="1"/>
    <col min="12297" max="12297" width="13.5703125" customWidth="1"/>
    <col min="12299" max="12299" width="15.140625" customWidth="1"/>
    <col min="12301" max="12301" width="12.85546875" customWidth="1"/>
    <col min="12302" max="12302" width="13.85546875" customWidth="1"/>
    <col min="12303" max="12303" width="13.28515625" customWidth="1"/>
    <col min="12304" max="12304" width="14" customWidth="1"/>
    <col min="12305" max="12305" width="20.7109375" customWidth="1"/>
    <col min="12306" max="12306" width="14.85546875" customWidth="1"/>
    <col min="12307" max="12307" width="15.5703125" customWidth="1"/>
    <col min="12545" max="12545" width="14" customWidth="1"/>
    <col min="12546" max="12546" width="13.140625" customWidth="1"/>
    <col min="12547" max="12547" width="12.85546875" customWidth="1"/>
    <col min="12549" max="12549" width="13.85546875" customWidth="1"/>
    <col min="12551" max="12551" width="13.28515625" customWidth="1"/>
    <col min="12553" max="12553" width="13.5703125" customWidth="1"/>
    <col min="12555" max="12555" width="15.140625" customWidth="1"/>
    <col min="12557" max="12557" width="12.85546875" customWidth="1"/>
    <col min="12558" max="12558" width="13.85546875" customWidth="1"/>
    <col min="12559" max="12559" width="13.28515625" customWidth="1"/>
    <col min="12560" max="12560" width="14" customWidth="1"/>
    <col min="12561" max="12561" width="20.7109375" customWidth="1"/>
    <col min="12562" max="12562" width="14.85546875" customWidth="1"/>
    <col min="12563" max="12563" width="15.5703125" customWidth="1"/>
    <col min="12801" max="12801" width="14" customWidth="1"/>
    <col min="12802" max="12802" width="13.140625" customWidth="1"/>
    <col min="12803" max="12803" width="12.85546875" customWidth="1"/>
    <col min="12805" max="12805" width="13.85546875" customWidth="1"/>
    <col min="12807" max="12807" width="13.28515625" customWidth="1"/>
    <col min="12809" max="12809" width="13.5703125" customWidth="1"/>
    <col min="12811" max="12811" width="15.140625" customWidth="1"/>
    <col min="12813" max="12813" width="12.85546875" customWidth="1"/>
    <col min="12814" max="12814" width="13.85546875" customWidth="1"/>
    <col min="12815" max="12815" width="13.28515625" customWidth="1"/>
    <col min="12816" max="12816" width="14" customWidth="1"/>
    <col min="12817" max="12817" width="20.7109375" customWidth="1"/>
    <col min="12818" max="12818" width="14.85546875" customWidth="1"/>
    <col min="12819" max="12819" width="15.5703125" customWidth="1"/>
    <col min="13057" max="13057" width="14" customWidth="1"/>
    <col min="13058" max="13058" width="13.140625" customWidth="1"/>
    <col min="13059" max="13059" width="12.85546875" customWidth="1"/>
    <col min="13061" max="13061" width="13.85546875" customWidth="1"/>
    <col min="13063" max="13063" width="13.28515625" customWidth="1"/>
    <col min="13065" max="13065" width="13.5703125" customWidth="1"/>
    <col min="13067" max="13067" width="15.140625" customWidth="1"/>
    <col min="13069" max="13069" width="12.85546875" customWidth="1"/>
    <col min="13070" max="13070" width="13.85546875" customWidth="1"/>
    <col min="13071" max="13071" width="13.28515625" customWidth="1"/>
    <col min="13072" max="13072" width="14" customWidth="1"/>
    <col min="13073" max="13073" width="20.7109375" customWidth="1"/>
    <col min="13074" max="13074" width="14.85546875" customWidth="1"/>
    <col min="13075" max="13075" width="15.5703125" customWidth="1"/>
    <col min="13313" max="13313" width="14" customWidth="1"/>
    <col min="13314" max="13314" width="13.140625" customWidth="1"/>
    <col min="13315" max="13315" width="12.85546875" customWidth="1"/>
    <col min="13317" max="13317" width="13.85546875" customWidth="1"/>
    <col min="13319" max="13319" width="13.28515625" customWidth="1"/>
    <col min="13321" max="13321" width="13.5703125" customWidth="1"/>
    <col min="13323" max="13323" width="15.140625" customWidth="1"/>
    <col min="13325" max="13325" width="12.85546875" customWidth="1"/>
    <col min="13326" max="13326" width="13.85546875" customWidth="1"/>
    <col min="13327" max="13327" width="13.28515625" customWidth="1"/>
    <col min="13328" max="13328" width="14" customWidth="1"/>
    <col min="13329" max="13329" width="20.7109375" customWidth="1"/>
    <col min="13330" max="13330" width="14.85546875" customWidth="1"/>
    <col min="13331" max="13331" width="15.5703125" customWidth="1"/>
    <col min="13569" max="13569" width="14" customWidth="1"/>
    <col min="13570" max="13570" width="13.140625" customWidth="1"/>
    <col min="13571" max="13571" width="12.85546875" customWidth="1"/>
    <col min="13573" max="13573" width="13.85546875" customWidth="1"/>
    <col min="13575" max="13575" width="13.28515625" customWidth="1"/>
    <col min="13577" max="13577" width="13.5703125" customWidth="1"/>
    <col min="13579" max="13579" width="15.140625" customWidth="1"/>
    <col min="13581" max="13581" width="12.85546875" customWidth="1"/>
    <col min="13582" max="13582" width="13.85546875" customWidth="1"/>
    <col min="13583" max="13583" width="13.28515625" customWidth="1"/>
    <col min="13584" max="13584" width="14" customWidth="1"/>
    <col min="13585" max="13585" width="20.7109375" customWidth="1"/>
    <col min="13586" max="13586" width="14.85546875" customWidth="1"/>
    <col min="13587" max="13587" width="15.5703125" customWidth="1"/>
    <col min="13825" max="13825" width="14" customWidth="1"/>
    <col min="13826" max="13826" width="13.140625" customWidth="1"/>
    <col min="13827" max="13827" width="12.85546875" customWidth="1"/>
    <col min="13829" max="13829" width="13.85546875" customWidth="1"/>
    <col min="13831" max="13831" width="13.28515625" customWidth="1"/>
    <col min="13833" max="13833" width="13.5703125" customWidth="1"/>
    <col min="13835" max="13835" width="15.140625" customWidth="1"/>
    <col min="13837" max="13837" width="12.85546875" customWidth="1"/>
    <col min="13838" max="13838" width="13.85546875" customWidth="1"/>
    <col min="13839" max="13839" width="13.28515625" customWidth="1"/>
    <col min="13840" max="13840" width="14" customWidth="1"/>
    <col min="13841" max="13841" width="20.7109375" customWidth="1"/>
    <col min="13842" max="13842" width="14.85546875" customWidth="1"/>
    <col min="13843" max="13843" width="15.5703125" customWidth="1"/>
    <col min="14081" max="14081" width="14" customWidth="1"/>
    <col min="14082" max="14082" width="13.140625" customWidth="1"/>
    <col min="14083" max="14083" width="12.85546875" customWidth="1"/>
    <col min="14085" max="14085" width="13.85546875" customWidth="1"/>
    <col min="14087" max="14087" width="13.28515625" customWidth="1"/>
    <col min="14089" max="14089" width="13.5703125" customWidth="1"/>
    <col min="14091" max="14091" width="15.140625" customWidth="1"/>
    <col min="14093" max="14093" width="12.85546875" customWidth="1"/>
    <col min="14094" max="14094" width="13.85546875" customWidth="1"/>
    <col min="14095" max="14095" width="13.28515625" customWidth="1"/>
    <col min="14096" max="14096" width="14" customWidth="1"/>
    <col min="14097" max="14097" width="20.7109375" customWidth="1"/>
    <col min="14098" max="14098" width="14.85546875" customWidth="1"/>
    <col min="14099" max="14099" width="15.5703125" customWidth="1"/>
    <col min="14337" max="14337" width="14" customWidth="1"/>
    <col min="14338" max="14338" width="13.140625" customWidth="1"/>
    <col min="14339" max="14339" width="12.85546875" customWidth="1"/>
    <col min="14341" max="14341" width="13.85546875" customWidth="1"/>
    <col min="14343" max="14343" width="13.28515625" customWidth="1"/>
    <col min="14345" max="14345" width="13.5703125" customWidth="1"/>
    <col min="14347" max="14347" width="15.140625" customWidth="1"/>
    <col min="14349" max="14349" width="12.85546875" customWidth="1"/>
    <col min="14350" max="14350" width="13.85546875" customWidth="1"/>
    <col min="14351" max="14351" width="13.28515625" customWidth="1"/>
    <col min="14352" max="14352" width="14" customWidth="1"/>
    <col min="14353" max="14353" width="20.7109375" customWidth="1"/>
    <col min="14354" max="14354" width="14.85546875" customWidth="1"/>
    <col min="14355" max="14355" width="15.5703125" customWidth="1"/>
    <col min="14593" max="14593" width="14" customWidth="1"/>
    <col min="14594" max="14594" width="13.140625" customWidth="1"/>
    <col min="14595" max="14595" width="12.85546875" customWidth="1"/>
    <col min="14597" max="14597" width="13.85546875" customWidth="1"/>
    <col min="14599" max="14599" width="13.28515625" customWidth="1"/>
    <col min="14601" max="14601" width="13.5703125" customWidth="1"/>
    <col min="14603" max="14603" width="15.140625" customWidth="1"/>
    <col min="14605" max="14605" width="12.85546875" customWidth="1"/>
    <col min="14606" max="14606" width="13.85546875" customWidth="1"/>
    <col min="14607" max="14607" width="13.28515625" customWidth="1"/>
    <col min="14608" max="14608" width="14" customWidth="1"/>
    <col min="14609" max="14609" width="20.7109375" customWidth="1"/>
    <col min="14610" max="14610" width="14.85546875" customWidth="1"/>
    <col min="14611" max="14611" width="15.5703125" customWidth="1"/>
    <col min="14849" max="14849" width="14" customWidth="1"/>
    <col min="14850" max="14850" width="13.140625" customWidth="1"/>
    <col min="14851" max="14851" width="12.85546875" customWidth="1"/>
    <col min="14853" max="14853" width="13.85546875" customWidth="1"/>
    <col min="14855" max="14855" width="13.28515625" customWidth="1"/>
    <col min="14857" max="14857" width="13.5703125" customWidth="1"/>
    <col min="14859" max="14859" width="15.140625" customWidth="1"/>
    <col min="14861" max="14861" width="12.85546875" customWidth="1"/>
    <col min="14862" max="14862" width="13.85546875" customWidth="1"/>
    <col min="14863" max="14863" width="13.28515625" customWidth="1"/>
    <col min="14864" max="14864" width="14" customWidth="1"/>
    <col min="14865" max="14865" width="20.7109375" customWidth="1"/>
    <col min="14866" max="14866" width="14.85546875" customWidth="1"/>
    <col min="14867" max="14867" width="15.5703125" customWidth="1"/>
    <col min="15105" max="15105" width="14" customWidth="1"/>
    <col min="15106" max="15106" width="13.140625" customWidth="1"/>
    <col min="15107" max="15107" width="12.85546875" customWidth="1"/>
    <col min="15109" max="15109" width="13.85546875" customWidth="1"/>
    <col min="15111" max="15111" width="13.28515625" customWidth="1"/>
    <col min="15113" max="15113" width="13.5703125" customWidth="1"/>
    <col min="15115" max="15115" width="15.140625" customWidth="1"/>
    <col min="15117" max="15117" width="12.85546875" customWidth="1"/>
    <col min="15118" max="15118" width="13.85546875" customWidth="1"/>
    <col min="15119" max="15119" width="13.28515625" customWidth="1"/>
    <col min="15120" max="15120" width="14" customWidth="1"/>
    <col min="15121" max="15121" width="20.7109375" customWidth="1"/>
    <col min="15122" max="15122" width="14.85546875" customWidth="1"/>
    <col min="15123" max="15123" width="15.5703125" customWidth="1"/>
    <col min="15361" max="15361" width="14" customWidth="1"/>
    <col min="15362" max="15362" width="13.140625" customWidth="1"/>
    <col min="15363" max="15363" width="12.85546875" customWidth="1"/>
    <col min="15365" max="15365" width="13.85546875" customWidth="1"/>
    <col min="15367" max="15367" width="13.28515625" customWidth="1"/>
    <col min="15369" max="15369" width="13.5703125" customWidth="1"/>
    <col min="15371" max="15371" width="15.140625" customWidth="1"/>
    <col min="15373" max="15373" width="12.85546875" customWidth="1"/>
    <col min="15374" max="15374" width="13.85546875" customWidth="1"/>
    <col min="15375" max="15375" width="13.28515625" customWidth="1"/>
    <col min="15376" max="15376" width="14" customWidth="1"/>
    <col min="15377" max="15377" width="20.7109375" customWidth="1"/>
    <col min="15378" max="15378" width="14.85546875" customWidth="1"/>
    <col min="15379" max="15379" width="15.5703125" customWidth="1"/>
    <col min="15617" max="15617" width="14" customWidth="1"/>
    <col min="15618" max="15618" width="13.140625" customWidth="1"/>
    <col min="15619" max="15619" width="12.85546875" customWidth="1"/>
    <col min="15621" max="15621" width="13.85546875" customWidth="1"/>
    <col min="15623" max="15623" width="13.28515625" customWidth="1"/>
    <col min="15625" max="15625" width="13.5703125" customWidth="1"/>
    <col min="15627" max="15627" width="15.140625" customWidth="1"/>
    <col min="15629" max="15629" width="12.85546875" customWidth="1"/>
    <col min="15630" max="15630" width="13.85546875" customWidth="1"/>
    <col min="15631" max="15631" width="13.28515625" customWidth="1"/>
    <col min="15632" max="15632" width="14" customWidth="1"/>
    <col min="15633" max="15633" width="20.7109375" customWidth="1"/>
    <col min="15634" max="15634" width="14.85546875" customWidth="1"/>
    <col min="15635" max="15635" width="15.5703125" customWidth="1"/>
    <col min="15873" max="15873" width="14" customWidth="1"/>
    <col min="15874" max="15874" width="13.140625" customWidth="1"/>
    <col min="15875" max="15875" width="12.85546875" customWidth="1"/>
    <col min="15877" max="15877" width="13.85546875" customWidth="1"/>
    <col min="15879" max="15879" width="13.28515625" customWidth="1"/>
    <col min="15881" max="15881" width="13.5703125" customWidth="1"/>
    <col min="15883" max="15883" width="15.140625" customWidth="1"/>
    <col min="15885" max="15885" width="12.85546875" customWidth="1"/>
    <col min="15886" max="15886" width="13.85546875" customWidth="1"/>
    <col min="15887" max="15887" width="13.28515625" customWidth="1"/>
    <col min="15888" max="15888" width="14" customWidth="1"/>
    <col min="15889" max="15889" width="20.7109375" customWidth="1"/>
    <col min="15890" max="15890" width="14.85546875" customWidth="1"/>
    <col min="15891" max="15891" width="15.5703125" customWidth="1"/>
    <col min="16129" max="16129" width="14" customWidth="1"/>
    <col min="16130" max="16130" width="13.140625" customWidth="1"/>
    <col min="16131" max="16131" width="12.85546875" customWidth="1"/>
    <col min="16133" max="16133" width="13.85546875" customWidth="1"/>
    <col min="16135" max="16135" width="13.28515625" customWidth="1"/>
    <col min="16137" max="16137" width="13.5703125" customWidth="1"/>
    <col min="16139" max="16139" width="15.140625" customWidth="1"/>
    <col min="16141" max="16141" width="12.85546875" customWidth="1"/>
    <col min="16142" max="16142" width="13.85546875" customWidth="1"/>
    <col min="16143" max="16143" width="13.28515625" customWidth="1"/>
    <col min="16144" max="16144" width="14" customWidth="1"/>
    <col min="16145" max="16145" width="20.7109375" customWidth="1"/>
    <col min="16146" max="16146" width="14.85546875" customWidth="1"/>
    <col min="16147" max="16147" width="15.570312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13</v>
      </c>
      <c r="B6">
        <v>6</v>
      </c>
      <c r="C6">
        <v>924.00839999999994</v>
      </c>
      <c r="D6">
        <v>4</v>
      </c>
      <c r="E6">
        <v>795.33523999999989</v>
      </c>
      <c r="F6">
        <v>7</v>
      </c>
      <c r="G6">
        <v>305.14875999999998</v>
      </c>
      <c r="H6">
        <v>21</v>
      </c>
      <c r="I6">
        <v>111.72412999999999</v>
      </c>
      <c r="J6">
        <v>21</v>
      </c>
      <c r="K6">
        <v>45.484599999999993</v>
      </c>
      <c r="L6">
        <v>24</v>
      </c>
      <c r="M6">
        <v>19.744494</v>
      </c>
      <c r="N6">
        <v>11</v>
      </c>
      <c r="O6">
        <v>8.7541509999999985</v>
      </c>
      <c r="P6" s="3">
        <f>(B6*C6)+(D6*E6)+(F6*G6)+(H6*I6)+(J6*K6)+(L6*M6)+(N6*O6)</f>
        <v>14732.979527000001</v>
      </c>
    </row>
    <row r="7" spans="1:19" x14ac:dyDescent="0.2">
      <c r="A7">
        <v>20000</v>
      </c>
      <c r="B7">
        <v>47</v>
      </c>
      <c r="C7">
        <v>924.00839999999994</v>
      </c>
      <c r="D7">
        <v>30</v>
      </c>
      <c r="E7">
        <v>795.33523999999989</v>
      </c>
      <c r="F7">
        <v>61</v>
      </c>
      <c r="G7">
        <v>305.14875999999998</v>
      </c>
      <c r="H7">
        <v>116</v>
      </c>
      <c r="I7">
        <v>111.72412999999999</v>
      </c>
      <c r="J7">
        <v>190</v>
      </c>
      <c r="K7">
        <v>45.484599999999993</v>
      </c>
      <c r="L7">
        <v>213</v>
      </c>
      <c r="M7">
        <v>19.744494</v>
      </c>
      <c r="N7">
        <v>176</v>
      </c>
      <c r="O7">
        <v>8.7541509999999985</v>
      </c>
      <c r="P7" s="3">
        <f t="shared" ref="P7:P24" si="0">(B7*C7)+(D7*E7)+(F7*G7)+(H7*I7)+(J7*K7)+(L7*M7)+(N7*O7)</f>
        <v>113250.90723799999</v>
      </c>
    </row>
    <row r="8" spans="1:19" x14ac:dyDescent="0.2">
      <c r="A8">
        <v>30000</v>
      </c>
      <c r="B8">
        <v>22</v>
      </c>
      <c r="C8">
        <v>924.00839999999994</v>
      </c>
      <c r="D8">
        <v>21</v>
      </c>
      <c r="E8">
        <v>795.33523999999989</v>
      </c>
      <c r="F8">
        <v>42</v>
      </c>
      <c r="G8">
        <v>305.14875999999998</v>
      </c>
      <c r="H8">
        <v>85</v>
      </c>
      <c r="I8">
        <v>111.72412999999999</v>
      </c>
      <c r="J8">
        <v>170</v>
      </c>
      <c r="K8">
        <v>45.484599999999993</v>
      </c>
      <c r="L8">
        <v>160</v>
      </c>
      <c r="M8">
        <v>19.744494</v>
      </c>
      <c r="N8">
        <v>142</v>
      </c>
      <c r="O8">
        <v>8.7541509999999985</v>
      </c>
      <c r="P8" s="3">
        <f t="shared" si="0"/>
        <v>71477.614291999998</v>
      </c>
    </row>
    <row r="9" spans="1:19" x14ac:dyDescent="0.2">
      <c r="A9">
        <v>40000</v>
      </c>
      <c r="B9">
        <v>28</v>
      </c>
      <c r="C9">
        <v>924.00839999999994</v>
      </c>
      <c r="D9">
        <v>31</v>
      </c>
      <c r="E9">
        <v>795.33523999999989</v>
      </c>
      <c r="F9">
        <v>58</v>
      </c>
      <c r="G9">
        <v>305.14875999999998</v>
      </c>
      <c r="H9">
        <v>148</v>
      </c>
      <c r="I9">
        <v>111.72412999999999</v>
      </c>
      <c r="J9">
        <v>308</v>
      </c>
      <c r="K9">
        <v>45.484599999999993</v>
      </c>
      <c r="L9">
        <v>322</v>
      </c>
      <c r="M9">
        <v>19.744494</v>
      </c>
      <c r="N9">
        <v>224</v>
      </c>
      <c r="O9">
        <v>8.7541509999999985</v>
      </c>
      <c r="P9" s="3">
        <f t="shared" si="0"/>
        <v>107089.340652</v>
      </c>
    </row>
    <row r="10" spans="1:19" x14ac:dyDescent="0.2">
      <c r="A10">
        <v>50000</v>
      </c>
      <c r="B10">
        <v>12</v>
      </c>
      <c r="C10">
        <v>924.00839999999994</v>
      </c>
      <c r="D10">
        <v>25</v>
      </c>
      <c r="E10">
        <v>795.33523999999989</v>
      </c>
      <c r="F10">
        <v>54</v>
      </c>
      <c r="G10">
        <v>305.14875999999998</v>
      </c>
      <c r="H10">
        <v>146</v>
      </c>
      <c r="I10">
        <v>111.72412999999999</v>
      </c>
      <c r="J10">
        <v>252</v>
      </c>
      <c r="K10">
        <v>45.484599999999993</v>
      </c>
      <c r="L10">
        <v>330</v>
      </c>
      <c r="M10">
        <v>19.744494</v>
      </c>
      <c r="N10">
        <v>210</v>
      </c>
      <c r="O10">
        <v>8.7541509999999985</v>
      </c>
      <c r="P10" s="3">
        <f t="shared" si="0"/>
        <v>83577.411749999999</v>
      </c>
    </row>
    <row r="11" spans="1:19" x14ac:dyDescent="0.2">
      <c r="A11">
        <v>60000</v>
      </c>
      <c r="B11">
        <v>16</v>
      </c>
      <c r="C11">
        <v>924.00839999999994</v>
      </c>
      <c r="D11">
        <v>11</v>
      </c>
      <c r="E11">
        <v>795.33523999999989</v>
      </c>
      <c r="F11">
        <v>33</v>
      </c>
      <c r="G11">
        <v>305.14875999999998</v>
      </c>
      <c r="H11">
        <v>95</v>
      </c>
      <c r="I11">
        <v>111.72412999999999</v>
      </c>
      <c r="J11">
        <v>222</v>
      </c>
      <c r="K11">
        <v>45.484599999999993</v>
      </c>
      <c r="L11">
        <v>247</v>
      </c>
      <c r="M11">
        <v>19.744494</v>
      </c>
      <c r="N11">
        <v>174</v>
      </c>
      <c r="O11">
        <v>8.7541509999999985</v>
      </c>
      <c r="P11" s="3">
        <f t="shared" si="0"/>
        <v>60714.216961999999</v>
      </c>
    </row>
    <row r="12" spans="1:19" x14ac:dyDescent="0.2">
      <c r="A12">
        <v>70000</v>
      </c>
      <c r="B12">
        <v>3</v>
      </c>
      <c r="C12">
        <v>924.00839999999994</v>
      </c>
      <c r="D12">
        <v>15</v>
      </c>
      <c r="E12">
        <v>795.33523999999989</v>
      </c>
      <c r="F12">
        <v>35</v>
      </c>
      <c r="G12">
        <v>305.14875999999998</v>
      </c>
      <c r="H12">
        <v>104</v>
      </c>
      <c r="I12">
        <v>111.72412999999999</v>
      </c>
      <c r="J12">
        <v>171</v>
      </c>
      <c r="K12">
        <v>45.484599999999993</v>
      </c>
      <c r="L12">
        <v>184</v>
      </c>
      <c r="M12">
        <v>19.744494</v>
      </c>
      <c r="N12">
        <v>112</v>
      </c>
      <c r="O12">
        <v>8.7541509999999985</v>
      </c>
      <c r="P12" s="3">
        <f t="shared" si="0"/>
        <v>49392.888328000001</v>
      </c>
      <c r="Q12" s="3">
        <f t="shared" ref="Q12:Q22" si="1">Q13+P12</f>
        <v>235447.342137</v>
      </c>
      <c r="R12">
        <v>4312024</v>
      </c>
      <c r="S12" s="21">
        <f t="shared" ref="S12:S23" si="2">(Q12/R12)*100</f>
        <v>5.4602511984395266</v>
      </c>
    </row>
    <row r="13" spans="1:19" x14ac:dyDescent="0.2">
      <c r="A13">
        <v>80000</v>
      </c>
      <c r="B13">
        <v>3</v>
      </c>
      <c r="C13">
        <v>924.00839999999994</v>
      </c>
      <c r="D13">
        <v>6</v>
      </c>
      <c r="E13">
        <v>795.33523999999989</v>
      </c>
      <c r="F13">
        <v>23</v>
      </c>
      <c r="G13">
        <v>305.14875999999998</v>
      </c>
      <c r="H13">
        <v>65</v>
      </c>
      <c r="I13">
        <v>111.72412999999999</v>
      </c>
      <c r="J13">
        <v>144</v>
      </c>
      <c r="K13">
        <v>45.484599999999993</v>
      </c>
      <c r="L13">
        <v>142</v>
      </c>
      <c r="M13">
        <v>19.744494</v>
      </c>
      <c r="N13">
        <v>96</v>
      </c>
      <c r="O13">
        <v>8.7541509999999985</v>
      </c>
      <c r="P13" s="3">
        <f t="shared" si="0"/>
        <v>32018.425614</v>
      </c>
      <c r="Q13" s="3">
        <f t="shared" si="1"/>
        <v>186054.453809</v>
      </c>
      <c r="R13">
        <v>4312024</v>
      </c>
      <c r="S13" s="21">
        <f t="shared" si="2"/>
        <v>4.3147824272081978</v>
      </c>
    </row>
    <row r="14" spans="1:19" x14ac:dyDescent="0.2">
      <c r="A14">
        <v>90000</v>
      </c>
      <c r="B14">
        <v>1</v>
      </c>
      <c r="C14">
        <v>924.00839999999994</v>
      </c>
      <c r="D14">
        <v>4</v>
      </c>
      <c r="E14">
        <v>795.33523999999989</v>
      </c>
      <c r="F14">
        <v>16</v>
      </c>
      <c r="G14">
        <v>305.14875999999998</v>
      </c>
      <c r="H14">
        <v>38</v>
      </c>
      <c r="I14">
        <v>111.72412999999999</v>
      </c>
      <c r="J14">
        <v>94</v>
      </c>
      <c r="K14">
        <v>45.484599999999993</v>
      </c>
      <c r="L14">
        <v>116</v>
      </c>
      <c r="M14">
        <v>19.744494</v>
      </c>
      <c r="N14">
        <v>88</v>
      </c>
      <c r="O14">
        <v>8.7541509999999985</v>
      </c>
      <c r="P14" s="3">
        <f t="shared" si="0"/>
        <v>20569.525452000002</v>
      </c>
      <c r="Q14" s="3">
        <f t="shared" si="1"/>
        <v>154036.02819499999</v>
      </c>
      <c r="R14">
        <v>4312024</v>
      </c>
      <c r="S14" s="21">
        <f t="shared" si="2"/>
        <v>3.5722442220868897</v>
      </c>
    </row>
    <row r="15" spans="1:19" x14ac:dyDescent="0.2">
      <c r="A15">
        <v>100000</v>
      </c>
      <c r="B15">
        <v>2</v>
      </c>
      <c r="C15">
        <v>924.00839999999994</v>
      </c>
      <c r="D15">
        <v>9</v>
      </c>
      <c r="E15">
        <v>795.33523999999989</v>
      </c>
      <c r="F15">
        <v>35</v>
      </c>
      <c r="G15">
        <v>305.14875999999998</v>
      </c>
      <c r="H15">
        <v>78</v>
      </c>
      <c r="I15">
        <v>111.72412999999999</v>
      </c>
      <c r="J15">
        <v>165</v>
      </c>
      <c r="K15">
        <v>45.484599999999993</v>
      </c>
      <c r="L15">
        <v>169</v>
      </c>
      <c r="M15">
        <v>19.744494</v>
      </c>
      <c r="N15">
        <v>110</v>
      </c>
      <c r="O15">
        <v>8.7541509999999985</v>
      </c>
      <c r="P15" s="3">
        <f t="shared" si="0"/>
        <v>40205.457796000002</v>
      </c>
      <c r="Q15" s="3">
        <f t="shared" si="1"/>
        <v>133466.50274299999</v>
      </c>
      <c r="R15">
        <v>4312024</v>
      </c>
      <c r="S15" s="21">
        <f t="shared" si="2"/>
        <v>3.0952170661155876</v>
      </c>
    </row>
    <row r="16" spans="1:19" x14ac:dyDescent="0.2">
      <c r="A16">
        <v>120000</v>
      </c>
      <c r="B16">
        <v>1</v>
      </c>
      <c r="C16">
        <v>924.00839999999994</v>
      </c>
      <c r="D16">
        <v>10</v>
      </c>
      <c r="E16">
        <v>795.33523999999989</v>
      </c>
      <c r="F16">
        <v>17</v>
      </c>
      <c r="G16">
        <v>305.14875999999998</v>
      </c>
      <c r="H16">
        <v>54</v>
      </c>
      <c r="I16">
        <v>111.72412999999999</v>
      </c>
      <c r="J16">
        <v>122</v>
      </c>
      <c r="K16">
        <v>45.484599999999993</v>
      </c>
      <c r="L16">
        <v>125</v>
      </c>
      <c r="M16">
        <v>19.744494</v>
      </c>
      <c r="N16">
        <v>91</v>
      </c>
      <c r="O16">
        <v>8.7541509999999985</v>
      </c>
      <c r="P16" s="3">
        <f t="shared" si="0"/>
        <v>28911.803430999997</v>
      </c>
      <c r="Q16" s="3">
        <f t="shared" si="1"/>
        <v>93261.044946999988</v>
      </c>
      <c r="R16">
        <v>4312024</v>
      </c>
      <c r="S16" s="21">
        <f t="shared" si="2"/>
        <v>2.1628136797707991</v>
      </c>
    </row>
    <row r="17" spans="1:19" x14ac:dyDescent="0.2">
      <c r="A17">
        <v>140000</v>
      </c>
      <c r="B17">
        <v>1</v>
      </c>
      <c r="C17">
        <v>924.00839999999994</v>
      </c>
      <c r="D17">
        <v>3</v>
      </c>
      <c r="E17">
        <v>795.33523999999989</v>
      </c>
      <c r="F17">
        <v>17</v>
      </c>
      <c r="G17">
        <v>305.14875999999998</v>
      </c>
      <c r="H17">
        <v>24</v>
      </c>
      <c r="I17">
        <v>111.72412999999999</v>
      </c>
      <c r="J17">
        <v>68</v>
      </c>
      <c r="K17">
        <v>45.484599999999993</v>
      </c>
      <c r="L17">
        <v>82</v>
      </c>
      <c r="M17">
        <v>19.744494</v>
      </c>
      <c r="N17">
        <v>54</v>
      </c>
      <c r="O17">
        <v>8.7541509999999985</v>
      </c>
      <c r="P17" s="3">
        <f t="shared" si="0"/>
        <v>16363.647621999999</v>
      </c>
      <c r="Q17" s="3">
        <f t="shared" si="1"/>
        <v>64349.241515999987</v>
      </c>
      <c r="R17">
        <v>4312024</v>
      </c>
      <c r="S17" s="21">
        <f t="shared" si="2"/>
        <v>1.4923210426472577</v>
      </c>
    </row>
    <row r="18" spans="1:19" x14ac:dyDescent="0.2">
      <c r="A18">
        <v>160000</v>
      </c>
      <c r="B18">
        <v>0</v>
      </c>
      <c r="C18">
        <v>924.00839999999994</v>
      </c>
      <c r="D18">
        <v>3</v>
      </c>
      <c r="E18">
        <v>795.33523999999989</v>
      </c>
      <c r="F18">
        <v>6</v>
      </c>
      <c r="G18">
        <v>305.14875999999998</v>
      </c>
      <c r="H18">
        <v>23</v>
      </c>
      <c r="I18">
        <v>111.72412999999999</v>
      </c>
      <c r="J18">
        <v>56</v>
      </c>
      <c r="K18">
        <v>45.484599999999993</v>
      </c>
      <c r="L18">
        <v>67</v>
      </c>
      <c r="M18">
        <v>19.744494</v>
      </c>
      <c r="N18">
        <v>35</v>
      </c>
      <c r="O18">
        <v>8.7541509999999985</v>
      </c>
      <c r="P18" s="3">
        <f t="shared" si="0"/>
        <v>10962.967252999999</v>
      </c>
      <c r="Q18" s="3">
        <f t="shared" si="1"/>
        <v>47985.593893999991</v>
      </c>
      <c r="R18">
        <v>4312024</v>
      </c>
      <c r="S18" s="21">
        <f t="shared" si="2"/>
        <v>1.1128322545050768</v>
      </c>
    </row>
    <row r="19" spans="1:19" x14ac:dyDescent="0.2">
      <c r="A19">
        <v>180000</v>
      </c>
      <c r="B19">
        <v>0</v>
      </c>
      <c r="C19">
        <v>924.00839999999994</v>
      </c>
      <c r="D19">
        <v>1</v>
      </c>
      <c r="E19">
        <v>795.33523999999989</v>
      </c>
      <c r="F19">
        <v>6</v>
      </c>
      <c r="G19">
        <v>305.14875999999998</v>
      </c>
      <c r="H19">
        <v>16</v>
      </c>
      <c r="I19">
        <v>111.72412999999999</v>
      </c>
      <c r="J19">
        <v>48</v>
      </c>
      <c r="K19">
        <v>45.484599999999993</v>
      </c>
      <c r="L19">
        <v>47</v>
      </c>
      <c r="M19">
        <v>19.744494</v>
      </c>
      <c r="N19">
        <v>33</v>
      </c>
      <c r="O19">
        <v>8.7541509999999985</v>
      </c>
      <c r="P19" s="3">
        <f t="shared" si="0"/>
        <v>7813.9528810000002</v>
      </c>
      <c r="Q19" s="3">
        <f t="shared" si="1"/>
        <v>37022.626640999995</v>
      </c>
      <c r="R19">
        <v>4312024</v>
      </c>
      <c r="S19" s="21">
        <f t="shared" si="2"/>
        <v>0.85859045870338369</v>
      </c>
    </row>
    <row r="20" spans="1:19" x14ac:dyDescent="0.2">
      <c r="A20">
        <v>200000</v>
      </c>
      <c r="B20">
        <v>1</v>
      </c>
      <c r="C20">
        <v>924.00839999999994</v>
      </c>
      <c r="D20">
        <v>2</v>
      </c>
      <c r="E20">
        <v>795.33523999999989</v>
      </c>
      <c r="F20">
        <v>16</v>
      </c>
      <c r="G20">
        <v>305.14875999999998</v>
      </c>
      <c r="H20">
        <v>45</v>
      </c>
      <c r="I20">
        <v>111.72412999999999</v>
      </c>
      <c r="J20">
        <v>115</v>
      </c>
      <c r="K20">
        <v>45.484599999999993</v>
      </c>
      <c r="L20">
        <v>114</v>
      </c>
      <c r="M20">
        <v>19.744494</v>
      </c>
      <c r="N20">
        <v>86</v>
      </c>
      <c r="O20">
        <v>8.7541509999999985</v>
      </c>
      <c r="P20" s="3">
        <f t="shared" si="0"/>
        <v>20659.103191999999</v>
      </c>
      <c r="Q20" s="3">
        <f t="shared" si="1"/>
        <v>29208.673759999998</v>
      </c>
      <c r="R20">
        <v>4312024</v>
      </c>
      <c r="S20" s="21">
        <f t="shared" si="2"/>
        <v>0.67737734669380312</v>
      </c>
    </row>
    <row r="21" spans="1:19" x14ac:dyDescent="0.2">
      <c r="A21">
        <v>350000</v>
      </c>
      <c r="B21">
        <v>0</v>
      </c>
      <c r="C21">
        <v>924.00839999999994</v>
      </c>
      <c r="D21">
        <v>1</v>
      </c>
      <c r="E21">
        <v>795.33523999999989</v>
      </c>
      <c r="F21">
        <v>4</v>
      </c>
      <c r="G21">
        <v>305.14875999999998</v>
      </c>
      <c r="H21">
        <v>14</v>
      </c>
      <c r="I21">
        <v>111.72412999999999</v>
      </c>
      <c r="J21">
        <v>25</v>
      </c>
      <c r="K21">
        <v>45.484599999999993</v>
      </c>
      <c r="L21">
        <v>31</v>
      </c>
      <c r="M21">
        <v>19.744494</v>
      </c>
      <c r="N21">
        <v>18</v>
      </c>
      <c r="O21">
        <v>8.7541509999999985</v>
      </c>
      <c r="P21" s="3">
        <f t="shared" si="0"/>
        <v>5486.8371319999987</v>
      </c>
      <c r="Q21" s="3">
        <f t="shared" si="1"/>
        <v>8549.5705679999992</v>
      </c>
      <c r="R21">
        <v>4312024</v>
      </c>
      <c r="S21" s="21">
        <f t="shared" si="2"/>
        <v>0.19827279644083609</v>
      </c>
    </row>
    <row r="22" spans="1:19" x14ac:dyDescent="0.2">
      <c r="A22">
        <v>500000</v>
      </c>
      <c r="B22">
        <v>0</v>
      </c>
      <c r="C22">
        <v>924.00839999999994</v>
      </c>
      <c r="D22">
        <v>0</v>
      </c>
      <c r="E22">
        <v>795.33523999999989</v>
      </c>
      <c r="F22">
        <v>2</v>
      </c>
      <c r="G22">
        <v>305.14875999999998</v>
      </c>
      <c r="H22">
        <v>5</v>
      </c>
      <c r="I22">
        <v>111.72412999999999</v>
      </c>
      <c r="J22">
        <v>15</v>
      </c>
      <c r="K22">
        <v>45.484599999999993</v>
      </c>
      <c r="L22">
        <v>22</v>
      </c>
      <c r="M22">
        <v>19.744494</v>
      </c>
      <c r="N22">
        <v>17</v>
      </c>
      <c r="O22">
        <v>8.7541509999999985</v>
      </c>
      <c r="P22" s="3">
        <f t="shared" si="0"/>
        <v>2434.3866049999997</v>
      </c>
      <c r="Q22" s="3">
        <f t="shared" si="1"/>
        <v>3062.7334359999995</v>
      </c>
      <c r="R22">
        <v>4312024</v>
      </c>
      <c r="S22" s="21">
        <f t="shared" si="2"/>
        <v>7.1027745578410489E-2</v>
      </c>
    </row>
    <row r="23" spans="1:19" x14ac:dyDescent="0.2">
      <c r="A23" t="s">
        <v>12</v>
      </c>
      <c r="B23">
        <v>0</v>
      </c>
      <c r="C23">
        <v>924.00839999999994</v>
      </c>
      <c r="D23">
        <v>0</v>
      </c>
      <c r="E23">
        <v>795.33523999999989</v>
      </c>
      <c r="F23">
        <v>0</v>
      </c>
      <c r="G23">
        <v>305.14875999999998</v>
      </c>
      <c r="H23">
        <v>3</v>
      </c>
      <c r="I23">
        <v>111.72412999999999</v>
      </c>
      <c r="J23">
        <v>5</v>
      </c>
      <c r="K23">
        <v>45.484599999999993</v>
      </c>
      <c r="L23">
        <v>2</v>
      </c>
      <c r="M23">
        <v>19.744494</v>
      </c>
      <c r="N23">
        <v>3</v>
      </c>
      <c r="O23">
        <v>8.7541509999999985</v>
      </c>
      <c r="P23" s="3">
        <f t="shared" si="0"/>
        <v>628.34683099999984</v>
      </c>
      <c r="Q23" s="3">
        <f>P23</f>
        <v>628.34683099999984</v>
      </c>
      <c r="R23">
        <v>4312024</v>
      </c>
      <c r="S23" s="21">
        <f t="shared" si="2"/>
        <v>1.4571969706105527E-2</v>
      </c>
    </row>
    <row r="24" spans="1:19" x14ac:dyDescent="0.2">
      <c r="A24" t="s">
        <v>3</v>
      </c>
      <c r="B24">
        <f t="shared" ref="B24:N24" si="3">SUM(B6:B23)</f>
        <v>143</v>
      </c>
      <c r="C24">
        <v>924.00840000000005</v>
      </c>
      <c r="D24">
        <f t="shared" si="3"/>
        <v>176</v>
      </c>
      <c r="E24">
        <v>795.33523999999989</v>
      </c>
      <c r="F24">
        <f t="shared" si="3"/>
        <v>432</v>
      </c>
      <c r="G24">
        <v>305.14875999999998</v>
      </c>
      <c r="H24">
        <f t="shared" si="3"/>
        <v>1080</v>
      </c>
      <c r="I24">
        <v>111.72412999999999</v>
      </c>
      <c r="J24">
        <f t="shared" si="3"/>
        <v>2191</v>
      </c>
      <c r="K24">
        <v>45.484599999999993</v>
      </c>
      <c r="L24">
        <f t="shared" si="3"/>
        <v>2397</v>
      </c>
      <c r="M24">
        <v>19.744494</v>
      </c>
      <c r="N24">
        <f t="shared" si="3"/>
        <v>1680</v>
      </c>
      <c r="O24">
        <v>8.7541509999999985</v>
      </c>
      <c r="P24" s="3">
        <f t="shared" si="0"/>
        <v>686289.81255799986</v>
      </c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83</v>
      </c>
      <c r="B32" s="14">
        <v>5.0000000000000001E-4</v>
      </c>
      <c r="C32" s="4">
        <f>S23/100</f>
        <v>1.4571969706105527E-4</v>
      </c>
      <c r="D32">
        <f>S22/100</f>
        <v>7.1027745578410495E-4</v>
      </c>
      <c r="E32">
        <v>1000000</v>
      </c>
      <c r="F32">
        <v>500000</v>
      </c>
      <c r="G32">
        <f t="shared" ref="G32:G37" si="4">D32/C32</f>
        <v>4.8742721135805338</v>
      </c>
      <c r="H32">
        <f t="shared" ref="H32:H37" si="5">LN(G32)</f>
        <v>1.5839707832671952</v>
      </c>
      <c r="I32">
        <f t="shared" ref="I32:I37" si="6">E32/F32</f>
        <v>2</v>
      </c>
      <c r="J32">
        <f t="shared" ref="J32:J37" si="7">LN(I32)</f>
        <v>0.69314718055994529</v>
      </c>
      <c r="K32" s="4">
        <f t="shared" ref="K32:K37" si="8">H32/J32</f>
        <v>2.2851867939325898</v>
      </c>
      <c r="L32" s="4">
        <f t="shared" ref="L32:L37" si="9">F32*POWER(D32,1/K32)</f>
        <v>20948.445341963052</v>
      </c>
      <c r="M32" s="20">
        <f t="shared" ref="M32:M37" si="10">POWER(B32,1/K32)</f>
        <v>3.5930727512363925E-2</v>
      </c>
      <c r="N32" s="8">
        <f t="shared" ref="N32:N37" si="11">L32/M32</f>
        <v>583023.13346576679</v>
      </c>
      <c r="O32" s="5">
        <v>4312024</v>
      </c>
      <c r="P32" s="8">
        <f>O32*(K32/(1-K32))*POWER(L32,K32)*(-1)*POWER(N32,1-K32)</f>
        <v>2235076602.8973727</v>
      </c>
      <c r="Q32" s="9">
        <f t="shared" ref="Q32:Q37" si="12">B32*O32</f>
        <v>2156.0120000000002</v>
      </c>
      <c r="R32" s="8">
        <f t="shared" ref="R32:R37" si="13">P32/Q32</f>
        <v>1036671.6896275961</v>
      </c>
      <c r="S32" s="4">
        <f t="shared" ref="S32:S37" si="14">P32*5.4313*1.23</f>
        <v>14931427010.579296</v>
      </c>
    </row>
    <row r="33" spans="1:19" x14ac:dyDescent="0.2">
      <c r="A33" t="s">
        <v>75</v>
      </c>
      <c r="B33" s="14">
        <v>1E-3</v>
      </c>
      <c r="C33" s="4">
        <f>S22/100</f>
        <v>7.1027745578410495E-4</v>
      </c>
      <c r="D33">
        <f>S21/100</f>
        <v>1.982727964408361E-3</v>
      </c>
      <c r="E33">
        <v>500000</v>
      </c>
      <c r="F33">
        <v>350000</v>
      </c>
      <c r="G33">
        <f t="shared" si="4"/>
        <v>2.7914837339438638</v>
      </c>
      <c r="H33">
        <f t="shared" si="5"/>
        <v>1.0265732587564467</v>
      </c>
      <c r="I33">
        <f t="shared" si="6"/>
        <v>1.4285714285714286</v>
      </c>
      <c r="J33">
        <f t="shared" si="7"/>
        <v>0.35667494393873239</v>
      </c>
      <c r="K33" s="4">
        <f t="shared" si="8"/>
        <v>2.8781759868525714</v>
      </c>
      <c r="L33" s="4">
        <f t="shared" si="9"/>
        <v>40273.837195694461</v>
      </c>
      <c r="M33" s="20">
        <f t="shared" si="10"/>
        <v>9.0713764145504819E-2</v>
      </c>
      <c r="N33" s="8">
        <f t="shared" si="11"/>
        <v>443966.11225497437</v>
      </c>
      <c r="O33" s="5">
        <v>4312024</v>
      </c>
      <c r="P33" s="8">
        <f>O33*(K33/(1-K33))*POWER(L33,K33)*(POWER(N32,1-K33)-POWER(N33,1-K33))+P32</f>
        <v>3410195630.5829554</v>
      </c>
      <c r="Q33" s="9">
        <f t="shared" si="12"/>
        <v>4312.0240000000003</v>
      </c>
      <c r="R33" s="8">
        <f t="shared" si="13"/>
        <v>790857.29360109195</v>
      </c>
      <c r="S33" s="4">
        <f t="shared" si="14"/>
        <v>22781808499.913807</v>
      </c>
    </row>
    <row r="34" spans="1:19" x14ac:dyDescent="0.2">
      <c r="A34" t="s">
        <v>76</v>
      </c>
      <c r="B34" s="14">
        <v>2.5000000000000001E-3</v>
      </c>
      <c r="C34">
        <f>S21/100</f>
        <v>1.982727964408361E-3</v>
      </c>
      <c r="D34">
        <f>S20/100</f>
        <v>6.7737734669380311E-3</v>
      </c>
      <c r="E34">
        <v>350000</v>
      </c>
      <c r="F34">
        <v>200000</v>
      </c>
      <c r="G34">
        <f t="shared" si="4"/>
        <v>3.4163907447380462</v>
      </c>
      <c r="H34">
        <f t="shared" si="5"/>
        <v>1.2285846560175888</v>
      </c>
      <c r="I34">
        <f t="shared" si="6"/>
        <v>1.75</v>
      </c>
      <c r="J34">
        <f t="shared" si="7"/>
        <v>0.55961578793542266</v>
      </c>
      <c r="K34" s="4">
        <f t="shared" si="8"/>
        <v>2.1954074250660032</v>
      </c>
      <c r="L34" s="4">
        <f t="shared" si="9"/>
        <v>20558.023147884767</v>
      </c>
      <c r="M34" s="20">
        <f t="shared" si="10"/>
        <v>6.5278663336826345E-2</v>
      </c>
      <c r="N34" s="8">
        <f t="shared" si="11"/>
        <v>314927.14613056654</v>
      </c>
      <c r="O34" s="5">
        <v>4312024</v>
      </c>
      <c r="P34" s="8">
        <f>O34*(K34/(1-K34))*POWER(L34,K34)*(POWER(N33,1-K34)-POWER(N34,1-K34))+P33</f>
        <v>5509421895.4090185</v>
      </c>
      <c r="Q34" s="9">
        <f t="shared" si="12"/>
        <v>10780.06</v>
      </c>
      <c r="R34" s="8">
        <f t="shared" si="13"/>
        <v>511075.25332966779</v>
      </c>
      <c r="S34" s="4">
        <f t="shared" si="14"/>
        <v>36805687462.858055</v>
      </c>
    </row>
    <row r="35" spans="1:19" x14ac:dyDescent="0.2">
      <c r="A35" t="s">
        <v>76</v>
      </c>
      <c r="B35" s="14">
        <v>5.0000000000000001E-3</v>
      </c>
      <c r="C35">
        <f>S21/100</f>
        <v>1.982727964408361E-3</v>
      </c>
      <c r="D35">
        <f>S20/100</f>
        <v>6.7737734669380311E-3</v>
      </c>
      <c r="E35">
        <v>350000</v>
      </c>
      <c r="F35">
        <v>200000</v>
      </c>
      <c r="G35">
        <f t="shared" si="4"/>
        <v>3.4163907447380462</v>
      </c>
      <c r="H35">
        <f t="shared" si="5"/>
        <v>1.2285846560175888</v>
      </c>
      <c r="I35">
        <f t="shared" si="6"/>
        <v>1.75</v>
      </c>
      <c r="J35">
        <f t="shared" si="7"/>
        <v>0.55961578793542266</v>
      </c>
      <c r="K35" s="4">
        <f t="shared" si="8"/>
        <v>2.1954074250660032</v>
      </c>
      <c r="L35" s="4">
        <f t="shared" si="9"/>
        <v>20558.023147884767</v>
      </c>
      <c r="M35" s="20">
        <f t="shared" si="10"/>
        <v>8.9513658592712014E-2</v>
      </c>
      <c r="N35" s="8">
        <f t="shared" si="11"/>
        <v>229663.53371192171</v>
      </c>
      <c r="O35" s="5">
        <v>4312024</v>
      </c>
      <c r="P35" s="8">
        <f>O35*(K35/(1-K35))*POWER(L35,K35)*(POWER(N34,1-K35)-POWER(N35,1-K35))+P34</f>
        <v>8368245203.2818003</v>
      </c>
      <c r="Q35" s="9">
        <f t="shared" si="12"/>
        <v>21560.12</v>
      </c>
      <c r="R35" s="8">
        <f t="shared" si="13"/>
        <v>388135.37231155491</v>
      </c>
      <c r="S35" s="4">
        <f t="shared" si="14"/>
        <v>55904053712.278862</v>
      </c>
    </row>
    <row r="36" spans="1:19" x14ac:dyDescent="0.2">
      <c r="A36" t="s">
        <v>77</v>
      </c>
      <c r="B36" s="14">
        <v>0.01</v>
      </c>
      <c r="C36">
        <f>S19/100</f>
        <v>8.5859045870338366E-3</v>
      </c>
      <c r="D36">
        <f>S18/100</f>
        <v>1.1128322545050768E-2</v>
      </c>
      <c r="E36">
        <v>180000</v>
      </c>
      <c r="F36">
        <v>160000</v>
      </c>
      <c r="G36">
        <f t="shared" si="4"/>
        <v>1.2961153285882552</v>
      </c>
      <c r="H36">
        <f t="shared" si="5"/>
        <v>0.25937158207909772</v>
      </c>
      <c r="I36">
        <f t="shared" si="6"/>
        <v>1.125</v>
      </c>
      <c r="J36">
        <f t="shared" si="7"/>
        <v>0.11778303565638346</v>
      </c>
      <c r="K36" s="4">
        <f t="shared" si="8"/>
        <v>2.2021132384104978</v>
      </c>
      <c r="L36" s="4">
        <f t="shared" si="9"/>
        <v>20748.448788587139</v>
      </c>
      <c r="M36" s="20">
        <f t="shared" si="10"/>
        <v>0.12353257433768061</v>
      </c>
      <c r="N36" s="8">
        <f t="shared" si="11"/>
        <v>167959.33299236951</v>
      </c>
      <c r="O36" s="5">
        <v>4312024</v>
      </c>
      <c r="P36" s="8">
        <f>O36*(K36/(1-K36))*POWER(L36,K36)*(POWER(N35,1-K36)-POWER(N36,1-K36))+P35</f>
        <v>12527372416.554585</v>
      </c>
      <c r="Q36" s="9">
        <f t="shared" si="12"/>
        <v>43120.24</v>
      </c>
      <c r="R36" s="8">
        <f t="shared" si="13"/>
        <v>290521.86204331386</v>
      </c>
      <c r="S36" s="4">
        <f t="shared" si="14"/>
        <v>83689098901.420486</v>
      </c>
    </row>
    <row r="37" spans="1:19" x14ac:dyDescent="0.2">
      <c r="A37" t="s">
        <v>73</v>
      </c>
      <c r="B37" s="14">
        <v>0.02</v>
      </c>
      <c r="C37">
        <f>S17/100</f>
        <v>1.4923210426472577E-2</v>
      </c>
      <c r="D37">
        <f>S16/100</f>
        <v>2.1628136797707989E-2</v>
      </c>
      <c r="E37">
        <v>140000</v>
      </c>
      <c r="F37">
        <v>120000</v>
      </c>
      <c r="G37">
        <f t="shared" si="4"/>
        <v>1.4492951703838077</v>
      </c>
      <c r="H37">
        <f t="shared" si="5"/>
        <v>0.37107734886225902</v>
      </c>
      <c r="I37">
        <f t="shared" si="6"/>
        <v>1.1666666666666667</v>
      </c>
      <c r="J37">
        <f t="shared" si="7"/>
        <v>0.15415067982725836</v>
      </c>
      <c r="K37" s="4">
        <f t="shared" si="8"/>
        <v>2.4072378355910544</v>
      </c>
      <c r="L37" s="4">
        <f t="shared" si="9"/>
        <v>24407.60014899305</v>
      </c>
      <c r="M37" s="20">
        <f t="shared" si="10"/>
        <v>0.19689028385936849</v>
      </c>
      <c r="N37" s="8">
        <f t="shared" si="11"/>
        <v>123965.48814174347</v>
      </c>
      <c r="O37" s="5">
        <f>R17</f>
        <v>4312024</v>
      </c>
      <c r="P37" s="8">
        <f>O37*(K37/(1-K37))*POWER(L37,K37)*(POWER(N36,1-K37)-POWER(N37,1-K37))+P36</f>
        <v>18887903242.747799</v>
      </c>
      <c r="Q37" s="9">
        <f t="shared" si="12"/>
        <v>86240.48</v>
      </c>
      <c r="R37" s="8">
        <f t="shared" si="13"/>
        <v>219014.35663099046</v>
      </c>
      <c r="S37" s="4">
        <f t="shared" si="14"/>
        <v>126180618725.27342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14</v>
      </c>
      <c r="B50">
        <v>1</v>
      </c>
      <c r="C50">
        <v>2666.4371999999998</v>
      </c>
      <c r="D50">
        <v>0</v>
      </c>
      <c r="E50">
        <v>1380.29206</v>
      </c>
      <c r="F50">
        <v>2</v>
      </c>
      <c r="G50">
        <v>520.65229999999997</v>
      </c>
      <c r="H50">
        <v>6</v>
      </c>
      <c r="I50">
        <v>216.62451999999999</v>
      </c>
      <c r="J50">
        <v>10</v>
      </c>
      <c r="K50">
        <v>90.091232000000005</v>
      </c>
      <c r="L50">
        <v>18</v>
      </c>
      <c r="M50">
        <v>34.025292</v>
      </c>
      <c r="N50">
        <v>17</v>
      </c>
      <c r="O50">
        <v>11.0039804</v>
      </c>
      <c r="P50" s="3">
        <f>(B50*C50)+(D50*E50)+(F50*G50)+(H50*I50)+(J50*K50)+(L50*M50)+(N50*O50)</f>
        <v>6707.9241628</v>
      </c>
      <c r="Q50" s="3"/>
    </row>
    <row r="51" spans="1:19" x14ac:dyDescent="0.2">
      <c r="A51">
        <v>20000</v>
      </c>
      <c r="B51">
        <v>2</v>
      </c>
      <c r="C51">
        <v>2666.4371999999998</v>
      </c>
      <c r="D51">
        <v>11</v>
      </c>
      <c r="E51">
        <v>1380.29206</v>
      </c>
      <c r="F51">
        <v>14</v>
      </c>
      <c r="G51">
        <v>520.65229999999997</v>
      </c>
      <c r="H51">
        <v>62</v>
      </c>
      <c r="I51">
        <v>216.62451999999999</v>
      </c>
      <c r="J51">
        <v>150</v>
      </c>
      <c r="K51">
        <v>90.091232000000005</v>
      </c>
      <c r="L51">
        <v>296</v>
      </c>
      <c r="M51">
        <v>34.025292</v>
      </c>
      <c r="N51">
        <v>405</v>
      </c>
      <c r="O51">
        <v>11.0039804</v>
      </c>
      <c r="P51" s="3">
        <f t="shared" ref="P51:P68" si="15">(B51*C51)+(D51*E51)+(F51*G51)+(H51*I51)+(J51*K51)+(L51*M51)+(N51*O51)</f>
        <v>69277.722794000001</v>
      </c>
      <c r="Q51" s="3"/>
    </row>
    <row r="52" spans="1:19" x14ac:dyDescent="0.2">
      <c r="A52">
        <v>30000</v>
      </c>
      <c r="B52">
        <v>2</v>
      </c>
      <c r="C52">
        <v>2666.4371999999998</v>
      </c>
      <c r="D52">
        <v>5</v>
      </c>
      <c r="E52">
        <v>1380.29206</v>
      </c>
      <c r="F52">
        <v>12</v>
      </c>
      <c r="G52">
        <v>520.65229999999997</v>
      </c>
      <c r="H52">
        <v>36</v>
      </c>
      <c r="I52">
        <v>216.62451999999999</v>
      </c>
      <c r="J52">
        <v>108</v>
      </c>
      <c r="K52">
        <v>90.091232000000005</v>
      </c>
      <c r="L52">
        <v>232</v>
      </c>
      <c r="M52">
        <v>34.025292</v>
      </c>
      <c r="N52">
        <v>337</v>
      </c>
      <c r="O52">
        <v>11.0039804</v>
      </c>
      <c r="P52" s="3">
        <f t="shared" si="15"/>
        <v>47612.707214800008</v>
      </c>
      <c r="Q52" s="3">
        <f>Q53+P52</f>
        <v>287237.91478200001</v>
      </c>
      <c r="R52">
        <v>4373616</v>
      </c>
      <c r="S52">
        <f>Q52/R52*100</f>
        <v>6.567515638821515</v>
      </c>
    </row>
    <row r="53" spans="1:19" x14ac:dyDescent="0.2">
      <c r="A53">
        <v>40000</v>
      </c>
      <c r="B53">
        <v>1</v>
      </c>
      <c r="C53">
        <v>2666.4371999999998</v>
      </c>
      <c r="D53">
        <v>4</v>
      </c>
      <c r="E53">
        <v>1380.29206</v>
      </c>
      <c r="F53">
        <v>15</v>
      </c>
      <c r="G53">
        <v>520.65229999999997</v>
      </c>
      <c r="H53">
        <v>62</v>
      </c>
      <c r="I53">
        <v>216.62451999999999</v>
      </c>
      <c r="J53">
        <v>127</v>
      </c>
      <c r="K53">
        <v>90.091232000000005</v>
      </c>
      <c r="L53">
        <v>211</v>
      </c>
      <c r="M53">
        <v>34.025292</v>
      </c>
      <c r="N53">
        <v>282</v>
      </c>
      <c r="O53">
        <v>11.0039804</v>
      </c>
      <c r="P53" s="3">
        <f t="shared" si="15"/>
        <v>51152.155728799997</v>
      </c>
      <c r="Q53" s="3">
        <f t="shared" ref="Q53:Q62" si="16">Q54+P53</f>
        <v>239625.20756720001</v>
      </c>
      <c r="R53">
        <v>4373616</v>
      </c>
      <c r="S53">
        <f>Q53/R53*100</f>
        <v>5.4788808063442245</v>
      </c>
    </row>
    <row r="54" spans="1:19" x14ac:dyDescent="0.2">
      <c r="A54">
        <v>50000</v>
      </c>
      <c r="B54">
        <v>1</v>
      </c>
      <c r="C54">
        <v>2666.4371999999998</v>
      </c>
      <c r="D54">
        <v>4</v>
      </c>
      <c r="E54">
        <v>1380.29206</v>
      </c>
      <c r="F54">
        <v>18</v>
      </c>
      <c r="G54">
        <v>520.65229999999997</v>
      </c>
      <c r="H54">
        <v>55</v>
      </c>
      <c r="I54">
        <v>216.62451999999999</v>
      </c>
      <c r="J54">
        <v>119</v>
      </c>
      <c r="K54">
        <v>90.091232000000005</v>
      </c>
      <c r="L54">
        <v>209</v>
      </c>
      <c r="M54">
        <v>34.025292</v>
      </c>
      <c r="N54">
        <v>262</v>
      </c>
      <c r="O54">
        <v>11.0039804</v>
      </c>
      <c r="P54" s="3">
        <f t="shared" si="15"/>
        <v>50188.880940800002</v>
      </c>
      <c r="Q54" s="3">
        <f t="shared" si="16"/>
        <v>188473.05183840002</v>
      </c>
      <c r="R54">
        <v>4373616</v>
      </c>
      <c r="S54">
        <f>Q54/R54*100</f>
        <v>4.3093186927796134</v>
      </c>
    </row>
    <row r="55" spans="1:19" x14ac:dyDescent="0.2">
      <c r="A55">
        <v>60000</v>
      </c>
      <c r="B55">
        <v>1</v>
      </c>
      <c r="C55">
        <v>2666.4371999999998</v>
      </c>
      <c r="D55">
        <v>1</v>
      </c>
      <c r="E55">
        <v>1380.29206</v>
      </c>
      <c r="F55">
        <v>13</v>
      </c>
      <c r="G55">
        <v>520.65229999999997</v>
      </c>
      <c r="H55">
        <v>43</v>
      </c>
      <c r="I55">
        <v>216.62451999999999</v>
      </c>
      <c r="J55">
        <v>74</v>
      </c>
      <c r="K55">
        <v>90.091232000000005</v>
      </c>
      <c r="L55">
        <v>140</v>
      </c>
      <c r="M55">
        <v>34.025292</v>
      </c>
      <c r="N55">
        <v>187</v>
      </c>
      <c r="O55">
        <v>11.0039804</v>
      </c>
      <c r="P55" s="3">
        <f t="shared" si="15"/>
        <v>33618.099902800001</v>
      </c>
      <c r="Q55" s="3">
        <f t="shared" si="16"/>
        <v>138284.17089760001</v>
      </c>
      <c r="R55">
        <v>4373616</v>
      </c>
      <c r="S55">
        <f>Q55/R55*100</f>
        <v>3.1617812560041854</v>
      </c>
    </row>
    <row r="56" spans="1:19" x14ac:dyDescent="0.2">
      <c r="A56">
        <v>70000</v>
      </c>
      <c r="B56">
        <v>0</v>
      </c>
      <c r="C56">
        <v>2666.4371999999998</v>
      </c>
      <c r="D56">
        <v>2</v>
      </c>
      <c r="E56">
        <v>1380.29206</v>
      </c>
      <c r="F56">
        <v>10</v>
      </c>
      <c r="G56">
        <v>520.65229999999997</v>
      </c>
      <c r="H56">
        <v>20</v>
      </c>
      <c r="I56">
        <v>216.62451999999999</v>
      </c>
      <c r="J56">
        <v>68</v>
      </c>
      <c r="K56">
        <v>90.091232000000005</v>
      </c>
      <c r="L56">
        <v>98</v>
      </c>
      <c r="M56">
        <v>34.025292</v>
      </c>
      <c r="N56">
        <v>137</v>
      </c>
      <c r="O56">
        <v>11.0039804</v>
      </c>
      <c r="P56" s="3">
        <f t="shared" si="15"/>
        <v>23267.8252268</v>
      </c>
      <c r="Q56" s="3">
        <f t="shared" si="16"/>
        <v>104666.07099480001</v>
      </c>
      <c r="R56">
        <v>4373616</v>
      </c>
      <c r="S56">
        <f>Q56/R56*100</f>
        <v>2.3931243848293953</v>
      </c>
    </row>
    <row r="57" spans="1:19" x14ac:dyDescent="0.2">
      <c r="A57">
        <v>80000</v>
      </c>
      <c r="B57">
        <v>0</v>
      </c>
      <c r="C57">
        <v>2666.4371999999998</v>
      </c>
      <c r="D57">
        <v>3</v>
      </c>
      <c r="E57">
        <v>1380.29206</v>
      </c>
      <c r="F57">
        <v>6</v>
      </c>
      <c r="G57">
        <v>520.65229999999997</v>
      </c>
      <c r="H57">
        <v>21</v>
      </c>
      <c r="I57">
        <v>216.62451999999999</v>
      </c>
      <c r="J57">
        <v>42</v>
      </c>
      <c r="K57">
        <v>90.091232000000005</v>
      </c>
      <c r="L57">
        <v>79</v>
      </c>
      <c r="M57">
        <v>34.025292</v>
      </c>
      <c r="N57">
        <v>96</v>
      </c>
      <c r="O57">
        <v>11.0039804</v>
      </c>
      <c r="P57" s="3">
        <f t="shared" si="15"/>
        <v>19342.116830400002</v>
      </c>
      <c r="Q57" s="3">
        <f t="shared" si="16"/>
        <v>81398.245768000008</v>
      </c>
      <c r="R57">
        <v>4373616</v>
      </c>
      <c r="S57">
        <f t="shared" ref="S57:S63" si="17">Q57/R57*100</f>
        <v>1.8611200838848221</v>
      </c>
    </row>
    <row r="58" spans="1:19" x14ac:dyDescent="0.2">
      <c r="A58">
        <v>90000</v>
      </c>
      <c r="B58">
        <v>0</v>
      </c>
      <c r="C58">
        <v>2666.4371999999998</v>
      </c>
      <c r="D58">
        <v>1</v>
      </c>
      <c r="E58">
        <v>1380.29206</v>
      </c>
      <c r="F58">
        <v>4</v>
      </c>
      <c r="G58">
        <v>520.65229999999997</v>
      </c>
      <c r="H58">
        <v>11</v>
      </c>
      <c r="I58">
        <v>216.62451999999999</v>
      </c>
      <c r="J58">
        <v>42</v>
      </c>
      <c r="K58">
        <v>90.091232000000005</v>
      </c>
      <c r="L58">
        <v>54</v>
      </c>
      <c r="M58">
        <v>34.025292</v>
      </c>
      <c r="N58">
        <v>81</v>
      </c>
      <c r="O58">
        <v>11.0039804</v>
      </c>
      <c r="P58" s="3">
        <f t="shared" si="15"/>
        <v>12358.290904400001</v>
      </c>
      <c r="Q58" s="3">
        <f t="shared" si="16"/>
        <v>62056.128937600006</v>
      </c>
      <c r="R58">
        <v>4373616</v>
      </c>
      <c r="S58">
        <f t="shared" si="17"/>
        <v>1.4188746551503379</v>
      </c>
    </row>
    <row r="59" spans="1:19" x14ac:dyDescent="0.2">
      <c r="A59">
        <v>100000</v>
      </c>
      <c r="B59">
        <v>0</v>
      </c>
      <c r="C59">
        <v>2666.4371999999998</v>
      </c>
      <c r="D59">
        <v>1</v>
      </c>
      <c r="E59">
        <v>1380.29206</v>
      </c>
      <c r="F59">
        <v>6</v>
      </c>
      <c r="G59">
        <v>520.65229999999997</v>
      </c>
      <c r="H59">
        <v>23</v>
      </c>
      <c r="I59">
        <v>216.62451999999999</v>
      </c>
      <c r="J59">
        <v>44</v>
      </c>
      <c r="K59">
        <v>90.091232000000005</v>
      </c>
      <c r="L59">
        <v>77</v>
      </c>
      <c r="M59">
        <v>34.025292</v>
      </c>
      <c r="N59">
        <v>116</v>
      </c>
      <c r="O59">
        <v>11.0039804</v>
      </c>
      <c r="P59" s="3">
        <f t="shared" si="15"/>
        <v>17346.993238400002</v>
      </c>
      <c r="Q59" s="3">
        <f t="shared" si="16"/>
        <v>49697.838033200002</v>
      </c>
      <c r="R59">
        <v>4373616</v>
      </c>
      <c r="S59">
        <f t="shared" si="17"/>
        <v>1.1363100471829262</v>
      </c>
    </row>
    <row r="60" spans="1:19" x14ac:dyDescent="0.2">
      <c r="A60">
        <v>120000</v>
      </c>
      <c r="B60">
        <v>0</v>
      </c>
      <c r="C60">
        <v>2666.4371999999998</v>
      </c>
      <c r="D60">
        <v>0</v>
      </c>
      <c r="E60">
        <v>1380.29206</v>
      </c>
      <c r="F60">
        <v>3</v>
      </c>
      <c r="G60">
        <v>520.65229999999997</v>
      </c>
      <c r="H60">
        <v>12</v>
      </c>
      <c r="I60">
        <v>216.62451999999999</v>
      </c>
      <c r="J60">
        <v>32</v>
      </c>
      <c r="K60">
        <v>90.091232000000005</v>
      </c>
      <c r="L60">
        <v>45</v>
      </c>
      <c r="M60">
        <v>34.025292</v>
      </c>
      <c r="N60">
        <v>64</v>
      </c>
      <c r="O60">
        <v>11.0039804</v>
      </c>
      <c r="P60" s="3">
        <f t="shared" si="15"/>
        <v>9279.7634495999991</v>
      </c>
      <c r="Q60" s="3">
        <f t="shared" si="16"/>
        <v>32350.844794799999</v>
      </c>
      <c r="R60">
        <v>4373616</v>
      </c>
      <c r="S60">
        <f t="shared" si="17"/>
        <v>0.73968187410142994</v>
      </c>
    </row>
    <row r="61" spans="1:19" x14ac:dyDescent="0.2">
      <c r="A61">
        <v>140000</v>
      </c>
      <c r="B61">
        <v>0</v>
      </c>
      <c r="C61">
        <v>2666.4371999999998</v>
      </c>
      <c r="D61">
        <v>0</v>
      </c>
      <c r="E61">
        <v>1380.29206</v>
      </c>
      <c r="F61">
        <v>4</v>
      </c>
      <c r="G61">
        <v>520.65229999999997</v>
      </c>
      <c r="H61">
        <v>4</v>
      </c>
      <c r="I61">
        <v>216.62451999999999</v>
      </c>
      <c r="J61">
        <v>14</v>
      </c>
      <c r="K61">
        <v>90.091232000000005</v>
      </c>
      <c r="L61">
        <v>31</v>
      </c>
      <c r="M61">
        <v>34.025292</v>
      </c>
      <c r="N61">
        <v>47</v>
      </c>
      <c r="O61">
        <v>11.0039804</v>
      </c>
      <c r="P61" s="3">
        <f t="shared" si="15"/>
        <v>5782.3556587999992</v>
      </c>
      <c r="Q61" s="3">
        <f t="shared" si="16"/>
        <v>23071.0813452</v>
      </c>
      <c r="R61">
        <v>4373616</v>
      </c>
      <c r="S61">
        <f t="shared" si="17"/>
        <v>0.52750587489162282</v>
      </c>
    </row>
    <row r="62" spans="1:19" x14ac:dyDescent="0.2">
      <c r="A62">
        <v>160000</v>
      </c>
      <c r="B62">
        <v>0</v>
      </c>
      <c r="C62">
        <v>2666.4371999999998</v>
      </c>
      <c r="D62">
        <v>1</v>
      </c>
      <c r="E62">
        <v>1380.29206</v>
      </c>
      <c r="F62">
        <v>1</v>
      </c>
      <c r="G62">
        <v>520.65229999999997</v>
      </c>
      <c r="H62">
        <v>2</v>
      </c>
      <c r="I62">
        <v>216.62451999999999</v>
      </c>
      <c r="J62">
        <v>8</v>
      </c>
      <c r="K62">
        <v>90.091232000000005</v>
      </c>
      <c r="L62">
        <v>27</v>
      </c>
      <c r="M62">
        <v>34.025292</v>
      </c>
      <c r="N62">
        <v>46</v>
      </c>
      <c r="O62">
        <v>11.0039804</v>
      </c>
      <c r="P62" s="3">
        <f t="shared" si="15"/>
        <v>4479.7892383999997</v>
      </c>
      <c r="Q62" s="3">
        <f t="shared" si="16"/>
        <v>17288.725686400001</v>
      </c>
      <c r="R62">
        <v>4373616</v>
      </c>
      <c r="S62">
        <f t="shared" si="17"/>
        <v>0.39529592187334234</v>
      </c>
    </row>
    <row r="63" spans="1:19" x14ac:dyDescent="0.2">
      <c r="A63">
        <v>180000</v>
      </c>
      <c r="B63">
        <v>1</v>
      </c>
      <c r="C63">
        <v>2666.4371999999998</v>
      </c>
      <c r="D63">
        <v>0</v>
      </c>
      <c r="E63">
        <v>1380.29206</v>
      </c>
      <c r="F63">
        <v>1</v>
      </c>
      <c r="G63">
        <v>520.65229999999997</v>
      </c>
      <c r="H63">
        <v>3</v>
      </c>
      <c r="I63">
        <v>216.62451999999999</v>
      </c>
      <c r="J63">
        <v>6</v>
      </c>
      <c r="K63">
        <v>90.091232000000005</v>
      </c>
      <c r="L63">
        <v>17</v>
      </c>
      <c r="M63">
        <v>34.025292</v>
      </c>
      <c r="N63">
        <v>21</v>
      </c>
      <c r="O63">
        <v>11.0039804</v>
      </c>
      <c r="P63" s="3">
        <f t="shared" si="15"/>
        <v>5187.0240044000002</v>
      </c>
      <c r="Q63" s="3">
        <f>P64+P63</f>
        <v>12808.936448</v>
      </c>
      <c r="R63">
        <v>4373616</v>
      </c>
      <c r="S63">
        <f t="shared" si="17"/>
        <v>0.29286833704650794</v>
      </c>
    </row>
    <row r="64" spans="1:19" x14ac:dyDescent="0.2">
      <c r="A64">
        <v>200000</v>
      </c>
      <c r="B64">
        <v>0</v>
      </c>
      <c r="C64">
        <v>2666.4371999999998</v>
      </c>
      <c r="D64">
        <v>0</v>
      </c>
      <c r="E64">
        <v>1380.29206</v>
      </c>
      <c r="F64">
        <v>3</v>
      </c>
      <c r="G64">
        <v>520.65229999999997</v>
      </c>
      <c r="H64">
        <v>9</v>
      </c>
      <c r="I64">
        <v>216.62451999999999</v>
      </c>
      <c r="J64">
        <v>20</v>
      </c>
      <c r="K64">
        <v>90.091232000000005</v>
      </c>
      <c r="L64">
        <v>52</v>
      </c>
      <c r="M64">
        <v>34.025292</v>
      </c>
      <c r="N64">
        <v>49</v>
      </c>
      <c r="O64">
        <v>11.0039804</v>
      </c>
      <c r="P64" s="3">
        <f t="shared" si="15"/>
        <v>7621.9124436000002</v>
      </c>
      <c r="Q64" s="3">
        <f>P65+P64</f>
        <v>10064.5234088</v>
      </c>
      <c r="R64">
        <v>4373616</v>
      </c>
      <c r="S64">
        <f>Q64/R64*100</f>
        <v>0.23011904586045048</v>
      </c>
    </row>
    <row r="65" spans="1:19" x14ac:dyDescent="0.2">
      <c r="A65">
        <v>350000</v>
      </c>
      <c r="B65">
        <v>0</v>
      </c>
      <c r="C65">
        <v>2666.4371999999998</v>
      </c>
      <c r="D65">
        <v>0</v>
      </c>
      <c r="E65">
        <v>1380.29206</v>
      </c>
      <c r="F65">
        <v>1</v>
      </c>
      <c r="G65">
        <v>520.65229999999997</v>
      </c>
      <c r="H65">
        <v>3</v>
      </c>
      <c r="I65">
        <v>216.62451999999999</v>
      </c>
      <c r="J65">
        <v>8</v>
      </c>
      <c r="K65">
        <v>90.091232000000005</v>
      </c>
      <c r="L65">
        <v>12</v>
      </c>
      <c r="M65">
        <v>34.025292</v>
      </c>
      <c r="N65">
        <v>13</v>
      </c>
      <c r="O65">
        <v>11.0039804</v>
      </c>
      <c r="P65" s="3">
        <f t="shared" si="15"/>
        <v>2442.6109652</v>
      </c>
      <c r="Q65" s="3">
        <f>P66+P65</f>
        <v>3028.4796304000001</v>
      </c>
      <c r="R65">
        <v>4373616</v>
      </c>
      <c r="S65">
        <f>Q65/R65*100</f>
        <v>6.9244296490592688E-2</v>
      </c>
    </row>
    <row r="66" spans="1:19" x14ac:dyDescent="0.2">
      <c r="A66">
        <v>500000</v>
      </c>
      <c r="B66">
        <v>0</v>
      </c>
      <c r="C66">
        <v>2666.4371999999998</v>
      </c>
      <c r="D66">
        <v>0</v>
      </c>
      <c r="E66">
        <v>1380.29206</v>
      </c>
      <c r="F66">
        <v>0</v>
      </c>
      <c r="G66">
        <v>520.65229999999997</v>
      </c>
      <c r="H66">
        <v>1</v>
      </c>
      <c r="I66">
        <v>216.62451999999999</v>
      </c>
      <c r="J66">
        <v>1</v>
      </c>
      <c r="K66">
        <v>90.091232000000005</v>
      </c>
      <c r="L66">
        <v>4</v>
      </c>
      <c r="M66">
        <v>34.025292</v>
      </c>
      <c r="N66">
        <v>13</v>
      </c>
      <c r="O66">
        <v>11.0039804</v>
      </c>
      <c r="P66" s="3">
        <f t="shared" si="15"/>
        <v>585.86866520000001</v>
      </c>
      <c r="Q66" s="3">
        <f>P67+P66</f>
        <v>834.06902600000001</v>
      </c>
      <c r="R66">
        <v>4373616</v>
      </c>
      <c r="S66">
        <f>Q66/R66*100</f>
        <v>1.9070467686234913E-2</v>
      </c>
    </row>
    <row r="67" spans="1:19" x14ac:dyDescent="0.2">
      <c r="A67" t="s">
        <v>12</v>
      </c>
      <c r="B67">
        <v>0</v>
      </c>
      <c r="C67">
        <v>2666.4371999999998</v>
      </c>
      <c r="D67">
        <v>0</v>
      </c>
      <c r="E67">
        <v>1380.29206</v>
      </c>
      <c r="F67">
        <v>0</v>
      </c>
      <c r="G67">
        <v>520.65229999999997</v>
      </c>
      <c r="H67">
        <v>0</v>
      </c>
      <c r="I67">
        <v>216.62451999999999</v>
      </c>
      <c r="J67">
        <v>1</v>
      </c>
      <c r="K67">
        <v>90.091232000000005</v>
      </c>
      <c r="L67">
        <v>4</v>
      </c>
      <c r="M67">
        <v>34.025292</v>
      </c>
      <c r="N67">
        <v>2</v>
      </c>
      <c r="O67">
        <v>11.0039804</v>
      </c>
      <c r="P67" s="3">
        <f t="shared" si="15"/>
        <v>248.20036080000003</v>
      </c>
      <c r="Q67" s="3">
        <v>271</v>
      </c>
      <c r="R67">
        <v>4373616</v>
      </c>
      <c r="S67">
        <f>Q67/R67*100</f>
        <v>6.196245852402223E-3</v>
      </c>
    </row>
    <row r="68" spans="1:19" x14ac:dyDescent="0.2">
      <c r="A68" t="s">
        <v>3</v>
      </c>
      <c r="B68">
        <v>9</v>
      </c>
      <c r="C68">
        <v>2666.4371999999998</v>
      </c>
      <c r="D68">
        <v>33</v>
      </c>
      <c r="E68">
        <v>1380.29206</v>
      </c>
      <c r="F68">
        <v>113</v>
      </c>
      <c r="G68">
        <v>520.65229999999997</v>
      </c>
      <c r="H68">
        <v>373</v>
      </c>
      <c r="I68">
        <v>216.62451999999999</v>
      </c>
      <c r="J68">
        <v>874</v>
      </c>
      <c r="K68">
        <v>90.091232000000005</v>
      </c>
      <c r="L68">
        <v>1606</v>
      </c>
      <c r="M68">
        <v>34.025292</v>
      </c>
      <c r="N68">
        <v>2175</v>
      </c>
      <c r="O68">
        <v>11.0039804</v>
      </c>
      <c r="P68" s="3">
        <f t="shared" si="15"/>
        <v>366500.24173000001</v>
      </c>
      <c r="Q68" s="3"/>
      <c r="R68">
        <v>4373616</v>
      </c>
    </row>
    <row r="69" spans="1:19" ht="15" x14ac:dyDescent="0.25">
      <c r="A69" s="2" t="s">
        <v>24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75</v>
      </c>
      <c r="B73" s="14">
        <v>5.0000000000000001E-4</v>
      </c>
      <c r="C73" s="4">
        <f>S66/100</f>
        <v>1.9070467686234914E-4</v>
      </c>
      <c r="D73" s="5">
        <f>S65/100</f>
        <v>6.924429649059269E-4</v>
      </c>
      <c r="E73" s="5">
        <v>500000</v>
      </c>
      <c r="F73" s="5">
        <v>350000</v>
      </c>
      <c r="G73" s="5">
        <f t="shared" ref="G73:G78" si="18">D73/C73</f>
        <v>3.6309700228575572</v>
      </c>
      <c r="H73" s="5">
        <f t="shared" ref="H73:H78" si="19">LN(G73)</f>
        <v>1.2894998365065067</v>
      </c>
      <c r="I73" s="5">
        <f t="shared" ref="I73:I78" si="20">E73/F73</f>
        <v>1.4285714285714286</v>
      </c>
      <c r="J73" s="5">
        <f t="shared" ref="J73:J78" si="21">LN(I73)</f>
        <v>0.35667494393873239</v>
      </c>
      <c r="K73" s="4">
        <f t="shared" ref="K73:K78" si="22">H73/J73</f>
        <v>3.6153362001453337</v>
      </c>
      <c r="L73" s="4">
        <f t="shared" ref="L73:L78" si="23">F73*(D73^(1/K73))</f>
        <v>46786.44018386658</v>
      </c>
      <c r="M73" s="7">
        <f t="shared" ref="M73:M78" si="24">POWER(B73,1/K73)</f>
        <v>0.1221622218385261</v>
      </c>
      <c r="N73" s="8">
        <f t="shared" ref="N73:N78" si="25">L73/M73</f>
        <v>382986.15954864386</v>
      </c>
      <c r="O73">
        <f t="shared" ref="O73:O78" si="26">R54</f>
        <v>4373616</v>
      </c>
      <c r="P73" s="8">
        <f>O73*(K73/(1-K73))*POWER(L73,K73)*(-1)*POWER(N73,1-K73)</f>
        <v>1157750289.4366083</v>
      </c>
      <c r="Q73" s="9">
        <f t="shared" ref="Q73:Q78" si="27">B73*O73</f>
        <v>2186.808</v>
      </c>
      <c r="R73" s="4">
        <f t="shared" ref="R73:R78" si="28">P73/Q73</f>
        <v>529424.75491063157</v>
      </c>
      <c r="S73" s="3">
        <f t="shared" ref="S73:S78" si="29">5.4313*P73*1.23</f>
        <v>7734349650.8309727</v>
      </c>
    </row>
    <row r="74" spans="1:19" x14ac:dyDescent="0.2">
      <c r="A74" t="s">
        <v>76</v>
      </c>
      <c r="B74" s="14">
        <v>1E-3</v>
      </c>
      <c r="C74" s="5">
        <f>S65/100</f>
        <v>6.924429649059269E-4</v>
      </c>
      <c r="D74" s="5">
        <f>S64/100</f>
        <v>2.3011904586045049E-3</v>
      </c>
      <c r="E74" s="5">
        <v>350000</v>
      </c>
      <c r="F74" s="5">
        <v>200000</v>
      </c>
      <c r="G74" s="5">
        <f t="shared" si="18"/>
        <v>3.3232924229609835</v>
      </c>
      <c r="H74" s="5">
        <f t="shared" si="19"/>
        <v>1.2009559851880376</v>
      </c>
      <c r="I74" s="5">
        <f t="shared" si="20"/>
        <v>1.75</v>
      </c>
      <c r="J74" s="5">
        <f t="shared" si="21"/>
        <v>0.55961578793542266</v>
      </c>
      <c r="K74" s="4">
        <f t="shared" si="22"/>
        <v>2.1460366399216437</v>
      </c>
      <c r="L74" s="4">
        <f t="shared" si="23"/>
        <v>11796.82489461277</v>
      </c>
      <c r="M74" s="7">
        <f t="shared" si="24"/>
        <v>4.0001308117285028E-2</v>
      </c>
      <c r="N74" s="8">
        <f t="shared" si="25"/>
        <v>294910.97791162546</v>
      </c>
      <c r="O74">
        <f t="shared" si="26"/>
        <v>4373616</v>
      </c>
      <c r="P74" s="8">
        <f>O74*(K74/(1-K74))*POWER(L74,K74)*(POWER(N73,1-K74)-POWER(N74,1-K74))+P73</f>
        <v>1782835126.0201828</v>
      </c>
      <c r="Q74" s="9">
        <f t="shared" si="27"/>
        <v>4373.616</v>
      </c>
      <c r="R74" s="4">
        <f t="shared" si="28"/>
        <v>407634.12380514952</v>
      </c>
      <c r="S74" s="3">
        <f t="shared" si="29"/>
        <v>11910228276.542706</v>
      </c>
    </row>
    <row r="75" spans="1:19" x14ac:dyDescent="0.2">
      <c r="A75" t="s">
        <v>82</v>
      </c>
      <c r="B75" s="14">
        <v>2.5000000000000001E-3</v>
      </c>
      <c r="C75" s="5">
        <f>S64/100</f>
        <v>2.3011904586045049E-3</v>
      </c>
      <c r="D75" s="5">
        <f>S63/100</f>
        <v>2.9286833704650793E-3</v>
      </c>
      <c r="E75" s="5">
        <v>200000</v>
      </c>
      <c r="F75" s="5">
        <v>180000</v>
      </c>
      <c r="G75" s="5">
        <f t="shared" si="18"/>
        <v>1.2726818675587159</v>
      </c>
      <c r="H75" s="5">
        <f t="shared" si="19"/>
        <v>0.24112638069092232</v>
      </c>
      <c r="I75" s="5">
        <f t="shared" si="20"/>
        <v>1.1111111111111112</v>
      </c>
      <c r="J75" s="5">
        <f t="shared" si="21"/>
        <v>0.10536051565782635</v>
      </c>
      <c r="K75" s="4">
        <f t="shared" si="22"/>
        <v>2.2885839081693131</v>
      </c>
      <c r="L75" s="4">
        <f t="shared" si="23"/>
        <v>14071.2088635526</v>
      </c>
      <c r="M75" s="7">
        <f t="shared" si="24"/>
        <v>7.2950148239886409E-2</v>
      </c>
      <c r="N75" s="8">
        <f t="shared" si="25"/>
        <v>192888.00918239931</v>
      </c>
      <c r="O75">
        <f t="shared" si="26"/>
        <v>4373616</v>
      </c>
      <c r="P75" s="8">
        <f>O75*(K75/(1-K75))*POWER(L75,K75)*(POWER(N74,1-K75)-POWER(N75,1-K75))+P74</f>
        <v>3361173341.6849337</v>
      </c>
      <c r="Q75" s="9">
        <f t="shared" si="27"/>
        <v>10934.04</v>
      </c>
      <c r="R75" s="4">
        <f t="shared" si="28"/>
        <v>307404.52217889577</v>
      </c>
      <c r="S75" s="3">
        <f t="shared" si="29"/>
        <v>22454315147.952858</v>
      </c>
    </row>
    <row r="76" spans="1:19" x14ac:dyDescent="0.2">
      <c r="A76" t="s">
        <v>80</v>
      </c>
      <c r="B76" s="14">
        <v>5.0000000000000001E-3</v>
      </c>
      <c r="C76" s="5">
        <f>S62/100</f>
        <v>3.9529592187334235E-3</v>
      </c>
      <c r="D76" s="5">
        <f>S61/100</f>
        <v>5.2750587489162285E-3</v>
      </c>
      <c r="E76" s="5">
        <v>160000</v>
      </c>
      <c r="F76" s="5">
        <v>140000</v>
      </c>
      <c r="G76" s="5">
        <f t="shared" si="18"/>
        <v>1.3344581760209562</v>
      </c>
      <c r="H76" s="5">
        <f t="shared" si="19"/>
        <v>0.2885253488100244</v>
      </c>
      <c r="I76" s="5">
        <f t="shared" si="20"/>
        <v>1.1428571428571428</v>
      </c>
      <c r="J76" s="5">
        <f t="shared" si="21"/>
        <v>0.13353139262452257</v>
      </c>
      <c r="K76" s="4">
        <f t="shared" si="22"/>
        <v>2.1607304704844195</v>
      </c>
      <c r="L76" s="4">
        <f t="shared" si="23"/>
        <v>12358.33994180178</v>
      </c>
      <c r="M76" s="7">
        <f t="shared" si="24"/>
        <v>8.6112951478761288E-2</v>
      </c>
      <c r="N76" s="8">
        <f t="shared" si="25"/>
        <v>143513.13861132509</v>
      </c>
      <c r="O76">
        <f t="shared" si="26"/>
        <v>4373616</v>
      </c>
      <c r="P76" s="8">
        <f>O76*(K76/(1-K76))*POWER(L76,K76)*(POWER(N75,1-K76)-POWER(N76,1-K76))+P75</f>
        <v>5058370025.3674459</v>
      </c>
      <c r="Q76" s="9">
        <f t="shared" si="27"/>
        <v>21868.080000000002</v>
      </c>
      <c r="R76" s="4">
        <f t="shared" si="28"/>
        <v>231312.94678670671</v>
      </c>
      <c r="S76" s="3">
        <f t="shared" si="29"/>
        <v>33792435896.097198</v>
      </c>
    </row>
    <row r="77" spans="1:19" x14ac:dyDescent="0.2">
      <c r="A77" t="s">
        <v>71</v>
      </c>
      <c r="B77" s="14">
        <v>0.01</v>
      </c>
      <c r="C77" s="5">
        <f>S60/100</f>
        <v>7.3968187410142997E-3</v>
      </c>
      <c r="D77" s="5">
        <f>S59/100</f>
        <v>1.1363100471829262E-2</v>
      </c>
      <c r="E77" s="5">
        <v>120000</v>
      </c>
      <c r="F77" s="5">
        <v>100000</v>
      </c>
      <c r="G77" s="5">
        <f t="shared" si="18"/>
        <v>1.5362145362333268</v>
      </c>
      <c r="H77" s="5">
        <f t="shared" si="19"/>
        <v>0.4293212969991565</v>
      </c>
      <c r="I77" s="5">
        <f t="shared" si="20"/>
        <v>1.2</v>
      </c>
      <c r="J77" s="5">
        <f t="shared" si="21"/>
        <v>0.18232155679395459</v>
      </c>
      <c r="K77" s="4">
        <f t="shared" si="22"/>
        <v>2.3547478671671365</v>
      </c>
      <c r="L77" s="4">
        <f t="shared" si="23"/>
        <v>14935.515934069141</v>
      </c>
      <c r="M77" s="7">
        <f t="shared" si="24"/>
        <v>0.14146603009025183</v>
      </c>
      <c r="N77" s="8">
        <f t="shared" si="25"/>
        <v>105576.69515812842</v>
      </c>
      <c r="O77">
        <f t="shared" si="26"/>
        <v>4373616</v>
      </c>
      <c r="P77" s="8">
        <f>O77*(K77/(1-K77))*POWER(L77,K77)*(POWER(N76,1-K77)-POWER(N77,1-K77))+P76</f>
        <v>7789179175.3008709</v>
      </c>
      <c r="Q77" s="9">
        <f t="shared" si="27"/>
        <v>43736.160000000003</v>
      </c>
      <c r="R77" s="4">
        <f t="shared" si="28"/>
        <v>178094.72014234608</v>
      </c>
      <c r="S77" s="3">
        <f t="shared" si="29"/>
        <v>52035603691.418297</v>
      </c>
    </row>
    <row r="78" spans="1:19" x14ac:dyDescent="0.2">
      <c r="A78" t="s">
        <v>81</v>
      </c>
      <c r="B78" s="14">
        <v>0.02</v>
      </c>
      <c r="C78" s="5">
        <f>S57/100</f>
        <v>1.8611200838848221E-2</v>
      </c>
      <c r="D78" s="5">
        <f>S56/100</f>
        <v>2.3931243848293954E-2</v>
      </c>
      <c r="E78" s="5">
        <v>80000</v>
      </c>
      <c r="F78" s="5">
        <v>70000</v>
      </c>
      <c r="G78" s="5">
        <f t="shared" si="18"/>
        <v>1.2858516790781658</v>
      </c>
      <c r="H78" s="5">
        <f t="shared" si="19"/>
        <v>0.25142128407686221</v>
      </c>
      <c r="I78" s="5">
        <f t="shared" si="20"/>
        <v>1.1428571428571428</v>
      </c>
      <c r="J78" s="5">
        <f t="shared" si="21"/>
        <v>0.13353139262452257</v>
      </c>
      <c r="K78" s="4">
        <f t="shared" si="22"/>
        <v>1.8828627421256263</v>
      </c>
      <c r="L78" s="4">
        <f t="shared" si="23"/>
        <v>9641.7643103775772</v>
      </c>
      <c r="M78" s="7">
        <f t="shared" si="24"/>
        <v>0.12521794315763049</v>
      </c>
      <c r="N78" s="8">
        <f t="shared" si="25"/>
        <v>76999.861738984575</v>
      </c>
      <c r="O78">
        <f t="shared" si="26"/>
        <v>4373616</v>
      </c>
      <c r="P78" s="8">
        <f>O78*(K78/(1-K78))*POWER(L78,K78)*(POWER(N77,1-K78)-POWER(N78,1-K78))+P77</f>
        <v>11282647007.212456</v>
      </c>
      <c r="Q78" s="9">
        <f t="shared" si="27"/>
        <v>87472.320000000007</v>
      </c>
      <c r="R78" s="4">
        <f t="shared" si="28"/>
        <v>128985.34081652864</v>
      </c>
      <c r="S78" s="3">
        <f t="shared" si="29"/>
        <v>75373712049.035797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30">S32+S73</f>
        <v>22665776661.410271</v>
      </c>
      <c r="C85">
        <f t="shared" ref="C85:C90" si="31">1242500000000*1.23</f>
        <v>1528275000000</v>
      </c>
      <c r="F85" s="10">
        <f t="shared" ref="F85:F90" si="32">B85/C85*100</f>
        <v>1.483095428598274</v>
      </c>
    </row>
    <row r="86" spans="1:7" ht="15" x14ac:dyDescent="0.25">
      <c r="A86" s="18">
        <v>1E-3</v>
      </c>
      <c r="B86" s="3">
        <f t="shared" si="30"/>
        <v>34692036776.456512</v>
      </c>
      <c r="C86">
        <f t="shared" si="31"/>
        <v>1528275000000</v>
      </c>
      <c r="F86" s="10">
        <f t="shared" si="32"/>
        <v>2.2700127121399296</v>
      </c>
    </row>
    <row r="87" spans="1:7" ht="15" x14ac:dyDescent="0.25">
      <c r="A87" s="18">
        <v>2.5000000000000001E-3</v>
      </c>
      <c r="B87" s="3">
        <f t="shared" si="30"/>
        <v>59260002610.810913</v>
      </c>
      <c r="C87">
        <f t="shared" si="31"/>
        <v>1528275000000</v>
      </c>
      <c r="F87" s="10">
        <f t="shared" si="32"/>
        <v>3.8775745602598297</v>
      </c>
    </row>
    <row r="88" spans="1:7" ht="15" x14ac:dyDescent="0.25">
      <c r="A88" s="18">
        <v>5.0000000000000001E-3</v>
      </c>
      <c r="B88" s="3">
        <f t="shared" si="30"/>
        <v>89696489608.376068</v>
      </c>
      <c r="C88">
        <f t="shared" si="31"/>
        <v>1528275000000</v>
      </c>
      <c r="F88" s="10">
        <f t="shared" si="32"/>
        <v>5.8691328202303952</v>
      </c>
    </row>
    <row r="89" spans="1:7" ht="15" x14ac:dyDescent="0.25">
      <c r="A89" s="19">
        <v>0.01</v>
      </c>
      <c r="B89" s="3">
        <f t="shared" si="30"/>
        <v>135724702592.83878</v>
      </c>
      <c r="C89">
        <f t="shared" si="31"/>
        <v>1528275000000</v>
      </c>
      <c r="F89" s="10">
        <f t="shared" si="32"/>
        <v>8.8809083831665614</v>
      </c>
    </row>
    <row r="90" spans="1:7" ht="15" x14ac:dyDescent="0.25">
      <c r="A90" s="19">
        <v>0.02</v>
      </c>
      <c r="B90" s="3">
        <f t="shared" si="30"/>
        <v>201554330774.3092</v>
      </c>
      <c r="C90">
        <f t="shared" si="31"/>
        <v>1528275000000</v>
      </c>
      <c r="F90" s="10">
        <f t="shared" si="32"/>
        <v>13.188354895179808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70" workbookViewId="0">
      <selection activeCell="F85" sqref="F85:F90"/>
    </sheetView>
  </sheetViews>
  <sheetFormatPr defaultRowHeight="12.75" x14ac:dyDescent="0.2"/>
  <cols>
    <col min="1" max="1" width="14.5703125" customWidth="1"/>
    <col min="2" max="2" width="25.7109375" customWidth="1"/>
    <col min="3" max="3" width="14" customWidth="1"/>
    <col min="5" max="5" width="14.7109375" customWidth="1"/>
    <col min="7" max="7" width="13.28515625" customWidth="1"/>
    <col min="9" max="9" width="13.140625" customWidth="1"/>
    <col min="11" max="11" width="13.85546875" customWidth="1"/>
    <col min="13" max="13" width="13.42578125" customWidth="1"/>
    <col min="14" max="14" width="13" customWidth="1"/>
    <col min="15" max="15" width="11.5703125" customWidth="1"/>
    <col min="16" max="16" width="12.5703125" customWidth="1"/>
    <col min="17" max="17" width="22.5703125" customWidth="1"/>
    <col min="18" max="18" width="13.140625" customWidth="1"/>
    <col min="19" max="19" width="14.28515625" customWidth="1"/>
    <col min="257" max="257" width="14.5703125" customWidth="1"/>
    <col min="258" max="258" width="25.7109375" customWidth="1"/>
    <col min="259" max="259" width="14" customWidth="1"/>
    <col min="261" max="261" width="14.7109375" customWidth="1"/>
    <col min="263" max="263" width="13.28515625" customWidth="1"/>
    <col min="265" max="265" width="13.140625" customWidth="1"/>
    <col min="267" max="267" width="13.85546875" customWidth="1"/>
    <col min="269" max="269" width="13.42578125" customWidth="1"/>
    <col min="270" max="270" width="13" customWidth="1"/>
    <col min="271" max="271" width="11.5703125" customWidth="1"/>
    <col min="272" max="272" width="12.5703125" customWidth="1"/>
    <col min="273" max="273" width="22.5703125" customWidth="1"/>
    <col min="274" max="274" width="13.140625" customWidth="1"/>
    <col min="275" max="275" width="14.28515625" customWidth="1"/>
    <col min="513" max="513" width="14.5703125" customWidth="1"/>
    <col min="514" max="514" width="25.7109375" customWidth="1"/>
    <col min="515" max="515" width="14" customWidth="1"/>
    <col min="517" max="517" width="14.7109375" customWidth="1"/>
    <col min="519" max="519" width="13.28515625" customWidth="1"/>
    <col min="521" max="521" width="13.140625" customWidth="1"/>
    <col min="523" max="523" width="13.85546875" customWidth="1"/>
    <col min="525" max="525" width="13.42578125" customWidth="1"/>
    <col min="526" max="526" width="13" customWidth="1"/>
    <col min="527" max="527" width="11.5703125" customWidth="1"/>
    <col min="528" max="528" width="12.5703125" customWidth="1"/>
    <col min="529" max="529" width="22.5703125" customWidth="1"/>
    <col min="530" max="530" width="13.140625" customWidth="1"/>
    <col min="531" max="531" width="14.28515625" customWidth="1"/>
    <col min="769" max="769" width="14.5703125" customWidth="1"/>
    <col min="770" max="770" width="25.7109375" customWidth="1"/>
    <col min="771" max="771" width="14" customWidth="1"/>
    <col min="773" max="773" width="14.7109375" customWidth="1"/>
    <col min="775" max="775" width="13.28515625" customWidth="1"/>
    <col min="777" max="777" width="13.140625" customWidth="1"/>
    <col min="779" max="779" width="13.85546875" customWidth="1"/>
    <col min="781" max="781" width="13.42578125" customWidth="1"/>
    <col min="782" max="782" width="13" customWidth="1"/>
    <col min="783" max="783" width="11.5703125" customWidth="1"/>
    <col min="784" max="784" width="12.5703125" customWidth="1"/>
    <col min="785" max="785" width="22.5703125" customWidth="1"/>
    <col min="786" max="786" width="13.140625" customWidth="1"/>
    <col min="787" max="787" width="14.28515625" customWidth="1"/>
    <col min="1025" max="1025" width="14.5703125" customWidth="1"/>
    <col min="1026" max="1026" width="25.7109375" customWidth="1"/>
    <col min="1027" max="1027" width="14" customWidth="1"/>
    <col min="1029" max="1029" width="14.7109375" customWidth="1"/>
    <col min="1031" max="1031" width="13.28515625" customWidth="1"/>
    <col min="1033" max="1033" width="13.140625" customWidth="1"/>
    <col min="1035" max="1035" width="13.85546875" customWidth="1"/>
    <col min="1037" max="1037" width="13.42578125" customWidth="1"/>
    <col min="1038" max="1038" width="13" customWidth="1"/>
    <col min="1039" max="1039" width="11.5703125" customWidth="1"/>
    <col min="1040" max="1040" width="12.5703125" customWidth="1"/>
    <col min="1041" max="1041" width="22.5703125" customWidth="1"/>
    <col min="1042" max="1042" width="13.140625" customWidth="1"/>
    <col min="1043" max="1043" width="14.28515625" customWidth="1"/>
    <col min="1281" max="1281" width="14.5703125" customWidth="1"/>
    <col min="1282" max="1282" width="25.7109375" customWidth="1"/>
    <col min="1283" max="1283" width="14" customWidth="1"/>
    <col min="1285" max="1285" width="14.7109375" customWidth="1"/>
    <col min="1287" max="1287" width="13.28515625" customWidth="1"/>
    <col min="1289" max="1289" width="13.140625" customWidth="1"/>
    <col min="1291" max="1291" width="13.85546875" customWidth="1"/>
    <col min="1293" max="1293" width="13.42578125" customWidth="1"/>
    <col min="1294" max="1294" width="13" customWidth="1"/>
    <col min="1295" max="1295" width="11.5703125" customWidth="1"/>
    <col min="1296" max="1296" width="12.5703125" customWidth="1"/>
    <col min="1297" max="1297" width="22.5703125" customWidth="1"/>
    <col min="1298" max="1298" width="13.140625" customWidth="1"/>
    <col min="1299" max="1299" width="14.28515625" customWidth="1"/>
    <col min="1537" max="1537" width="14.5703125" customWidth="1"/>
    <col min="1538" max="1538" width="25.7109375" customWidth="1"/>
    <col min="1539" max="1539" width="14" customWidth="1"/>
    <col min="1541" max="1541" width="14.7109375" customWidth="1"/>
    <col min="1543" max="1543" width="13.28515625" customWidth="1"/>
    <col min="1545" max="1545" width="13.140625" customWidth="1"/>
    <col min="1547" max="1547" width="13.85546875" customWidth="1"/>
    <col min="1549" max="1549" width="13.42578125" customWidth="1"/>
    <col min="1550" max="1550" width="13" customWidth="1"/>
    <col min="1551" max="1551" width="11.5703125" customWidth="1"/>
    <col min="1552" max="1552" width="12.5703125" customWidth="1"/>
    <col min="1553" max="1553" width="22.5703125" customWidth="1"/>
    <col min="1554" max="1554" width="13.140625" customWidth="1"/>
    <col min="1555" max="1555" width="14.28515625" customWidth="1"/>
    <col min="1793" max="1793" width="14.5703125" customWidth="1"/>
    <col min="1794" max="1794" width="25.7109375" customWidth="1"/>
    <col min="1795" max="1795" width="14" customWidth="1"/>
    <col min="1797" max="1797" width="14.7109375" customWidth="1"/>
    <col min="1799" max="1799" width="13.28515625" customWidth="1"/>
    <col min="1801" max="1801" width="13.140625" customWidth="1"/>
    <col min="1803" max="1803" width="13.85546875" customWidth="1"/>
    <col min="1805" max="1805" width="13.42578125" customWidth="1"/>
    <col min="1806" max="1806" width="13" customWidth="1"/>
    <col min="1807" max="1807" width="11.5703125" customWidth="1"/>
    <col min="1808" max="1808" width="12.5703125" customWidth="1"/>
    <col min="1809" max="1809" width="22.5703125" customWidth="1"/>
    <col min="1810" max="1810" width="13.140625" customWidth="1"/>
    <col min="1811" max="1811" width="14.28515625" customWidth="1"/>
    <col min="2049" max="2049" width="14.5703125" customWidth="1"/>
    <col min="2050" max="2050" width="25.7109375" customWidth="1"/>
    <col min="2051" max="2051" width="14" customWidth="1"/>
    <col min="2053" max="2053" width="14.7109375" customWidth="1"/>
    <col min="2055" max="2055" width="13.28515625" customWidth="1"/>
    <col min="2057" max="2057" width="13.140625" customWidth="1"/>
    <col min="2059" max="2059" width="13.85546875" customWidth="1"/>
    <col min="2061" max="2061" width="13.42578125" customWidth="1"/>
    <col min="2062" max="2062" width="13" customWidth="1"/>
    <col min="2063" max="2063" width="11.5703125" customWidth="1"/>
    <col min="2064" max="2064" width="12.5703125" customWidth="1"/>
    <col min="2065" max="2065" width="22.5703125" customWidth="1"/>
    <col min="2066" max="2066" width="13.140625" customWidth="1"/>
    <col min="2067" max="2067" width="14.28515625" customWidth="1"/>
    <col min="2305" max="2305" width="14.5703125" customWidth="1"/>
    <col min="2306" max="2306" width="25.7109375" customWidth="1"/>
    <col min="2307" max="2307" width="14" customWidth="1"/>
    <col min="2309" max="2309" width="14.7109375" customWidth="1"/>
    <col min="2311" max="2311" width="13.28515625" customWidth="1"/>
    <col min="2313" max="2313" width="13.140625" customWidth="1"/>
    <col min="2315" max="2315" width="13.85546875" customWidth="1"/>
    <col min="2317" max="2317" width="13.42578125" customWidth="1"/>
    <col min="2318" max="2318" width="13" customWidth="1"/>
    <col min="2319" max="2319" width="11.5703125" customWidth="1"/>
    <col min="2320" max="2320" width="12.5703125" customWidth="1"/>
    <col min="2321" max="2321" width="22.5703125" customWidth="1"/>
    <col min="2322" max="2322" width="13.140625" customWidth="1"/>
    <col min="2323" max="2323" width="14.28515625" customWidth="1"/>
    <col min="2561" max="2561" width="14.5703125" customWidth="1"/>
    <col min="2562" max="2562" width="25.7109375" customWidth="1"/>
    <col min="2563" max="2563" width="14" customWidth="1"/>
    <col min="2565" max="2565" width="14.7109375" customWidth="1"/>
    <col min="2567" max="2567" width="13.28515625" customWidth="1"/>
    <col min="2569" max="2569" width="13.140625" customWidth="1"/>
    <col min="2571" max="2571" width="13.85546875" customWidth="1"/>
    <col min="2573" max="2573" width="13.42578125" customWidth="1"/>
    <col min="2574" max="2574" width="13" customWidth="1"/>
    <col min="2575" max="2575" width="11.5703125" customWidth="1"/>
    <col min="2576" max="2576" width="12.5703125" customWidth="1"/>
    <col min="2577" max="2577" width="22.5703125" customWidth="1"/>
    <col min="2578" max="2578" width="13.140625" customWidth="1"/>
    <col min="2579" max="2579" width="14.28515625" customWidth="1"/>
    <col min="2817" max="2817" width="14.5703125" customWidth="1"/>
    <col min="2818" max="2818" width="25.7109375" customWidth="1"/>
    <col min="2819" max="2819" width="14" customWidth="1"/>
    <col min="2821" max="2821" width="14.7109375" customWidth="1"/>
    <col min="2823" max="2823" width="13.28515625" customWidth="1"/>
    <col min="2825" max="2825" width="13.140625" customWidth="1"/>
    <col min="2827" max="2827" width="13.85546875" customWidth="1"/>
    <col min="2829" max="2829" width="13.42578125" customWidth="1"/>
    <col min="2830" max="2830" width="13" customWidth="1"/>
    <col min="2831" max="2831" width="11.5703125" customWidth="1"/>
    <col min="2832" max="2832" width="12.5703125" customWidth="1"/>
    <col min="2833" max="2833" width="22.5703125" customWidth="1"/>
    <col min="2834" max="2834" width="13.140625" customWidth="1"/>
    <col min="2835" max="2835" width="14.28515625" customWidth="1"/>
    <col min="3073" max="3073" width="14.5703125" customWidth="1"/>
    <col min="3074" max="3074" width="25.7109375" customWidth="1"/>
    <col min="3075" max="3075" width="14" customWidth="1"/>
    <col min="3077" max="3077" width="14.7109375" customWidth="1"/>
    <col min="3079" max="3079" width="13.28515625" customWidth="1"/>
    <col min="3081" max="3081" width="13.140625" customWidth="1"/>
    <col min="3083" max="3083" width="13.85546875" customWidth="1"/>
    <col min="3085" max="3085" width="13.42578125" customWidth="1"/>
    <col min="3086" max="3086" width="13" customWidth="1"/>
    <col min="3087" max="3087" width="11.5703125" customWidth="1"/>
    <col min="3088" max="3088" width="12.5703125" customWidth="1"/>
    <col min="3089" max="3089" width="22.5703125" customWidth="1"/>
    <col min="3090" max="3090" width="13.140625" customWidth="1"/>
    <col min="3091" max="3091" width="14.28515625" customWidth="1"/>
    <col min="3329" max="3329" width="14.5703125" customWidth="1"/>
    <col min="3330" max="3330" width="25.7109375" customWidth="1"/>
    <col min="3331" max="3331" width="14" customWidth="1"/>
    <col min="3333" max="3333" width="14.7109375" customWidth="1"/>
    <col min="3335" max="3335" width="13.28515625" customWidth="1"/>
    <col min="3337" max="3337" width="13.140625" customWidth="1"/>
    <col min="3339" max="3339" width="13.85546875" customWidth="1"/>
    <col min="3341" max="3341" width="13.42578125" customWidth="1"/>
    <col min="3342" max="3342" width="13" customWidth="1"/>
    <col min="3343" max="3343" width="11.5703125" customWidth="1"/>
    <col min="3344" max="3344" width="12.5703125" customWidth="1"/>
    <col min="3345" max="3345" width="22.5703125" customWidth="1"/>
    <col min="3346" max="3346" width="13.140625" customWidth="1"/>
    <col min="3347" max="3347" width="14.28515625" customWidth="1"/>
    <col min="3585" max="3585" width="14.5703125" customWidth="1"/>
    <col min="3586" max="3586" width="25.7109375" customWidth="1"/>
    <col min="3587" max="3587" width="14" customWidth="1"/>
    <col min="3589" max="3589" width="14.7109375" customWidth="1"/>
    <col min="3591" max="3591" width="13.28515625" customWidth="1"/>
    <col min="3593" max="3593" width="13.140625" customWidth="1"/>
    <col min="3595" max="3595" width="13.85546875" customWidth="1"/>
    <col min="3597" max="3597" width="13.42578125" customWidth="1"/>
    <col min="3598" max="3598" width="13" customWidth="1"/>
    <col min="3599" max="3599" width="11.5703125" customWidth="1"/>
    <col min="3600" max="3600" width="12.5703125" customWidth="1"/>
    <col min="3601" max="3601" width="22.5703125" customWidth="1"/>
    <col min="3602" max="3602" width="13.140625" customWidth="1"/>
    <col min="3603" max="3603" width="14.28515625" customWidth="1"/>
    <col min="3841" max="3841" width="14.5703125" customWidth="1"/>
    <col min="3842" max="3842" width="25.7109375" customWidth="1"/>
    <col min="3843" max="3843" width="14" customWidth="1"/>
    <col min="3845" max="3845" width="14.7109375" customWidth="1"/>
    <col min="3847" max="3847" width="13.28515625" customWidth="1"/>
    <col min="3849" max="3849" width="13.140625" customWidth="1"/>
    <col min="3851" max="3851" width="13.85546875" customWidth="1"/>
    <col min="3853" max="3853" width="13.42578125" customWidth="1"/>
    <col min="3854" max="3854" width="13" customWidth="1"/>
    <col min="3855" max="3855" width="11.5703125" customWidth="1"/>
    <col min="3856" max="3856" width="12.5703125" customWidth="1"/>
    <col min="3857" max="3857" width="22.5703125" customWidth="1"/>
    <col min="3858" max="3858" width="13.140625" customWidth="1"/>
    <col min="3859" max="3859" width="14.28515625" customWidth="1"/>
    <col min="4097" max="4097" width="14.5703125" customWidth="1"/>
    <col min="4098" max="4098" width="25.7109375" customWidth="1"/>
    <col min="4099" max="4099" width="14" customWidth="1"/>
    <col min="4101" max="4101" width="14.7109375" customWidth="1"/>
    <col min="4103" max="4103" width="13.28515625" customWidth="1"/>
    <col min="4105" max="4105" width="13.140625" customWidth="1"/>
    <col min="4107" max="4107" width="13.85546875" customWidth="1"/>
    <col min="4109" max="4109" width="13.42578125" customWidth="1"/>
    <col min="4110" max="4110" width="13" customWidth="1"/>
    <col min="4111" max="4111" width="11.5703125" customWidth="1"/>
    <col min="4112" max="4112" width="12.5703125" customWidth="1"/>
    <col min="4113" max="4113" width="22.5703125" customWidth="1"/>
    <col min="4114" max="4114" width="13.140625" customWidth="1"/>
    <col min="4115" max="4115" width="14.28515625" customWidth="1"/>
    <col min="4353" max="4353" width="14.5703125" customWidth="1"/>
    <col min="4354" max="4354" width="25.7109375" customWidth="1"/>
    <col min="4355" max="4355" width="14" customWidth="1"/>
    <col min="4357" max="4357" width="14.7109375" customWidth="1"/>
    <col min="4359" max="4359" width="13.28515625" customWidth="1"/>
    <col min="4361" max="4361" width="13.140625" customWidth="1"/>
    <col min="4363" max="4363" width="13.85546875" customWidth="1"/>
    <col min="4365" max="4365" width="13.42578125" customWidth="1"/>
    <col min="4366" max="4366" width="13" customWidth="1"/>
    <col min="4367" max="4367" width="11.5703125" customWidth="1"/>
    <col min="4368" max="4368" width="12.5703125" customWidth="1"/>
    <col min="4369" max="4369" width="22.5703125" customWidth="1"/>
    <col min="4370" max="4370" width="13.140625" customWidth="1"/>
    <col min="4371" max="4371" width="14.28515625" customWidth="1"/>
    <col min="4609" max="4609" width="14.5703125" customWidth="1"/>
    <col min="4610" max="4610" width="25.7109375" customWidth="1"/>
    <col min="4611" max="4611" width="14" customWidth="1"/>
    <col min="4613" max="4613" width="14.7109375" customWidth="1"/>
    <col min="4615" max="4615" width="13.28515625" customWidth="1"/>
    <col min="4617" max="4617" width="13.140625" customWidth="1"/>
    <col min="4619" max="4619" width="13.85546875" customWidth="1"/>
    <col min="4621" max="4621" width="13.42578125" customWidth="1"/>
    <col min="4622" max="4622" width="13" customWidth="1"/>
    <col min="4623" max="4623" width="11.5703125" customWidth="1"/>
    <col min="4624" max="4624" width="12.5703125" customWidth="1"/>
    <col min="4625" max="4625" width="22.5703125" customWidth="1"/>
    <col min="4626" max="4626" width="13.140625" customWidth="1"/>
    <col min="4627" max="4627" width="14.28515625" customWidth="1"/>
    <col min="4865" max="4865" width="14.5703125" customWidth="1"/>
    <col min="4866" max="4866" width="25.7109375" customWidth="1"/>
    <col min="4867" max="4867" width="14" customWidth="1"/>
    <col min="4869" max="4869" width="14.7109375" customWidth="1"/>
    <col min="4871" max="4871" width="13.28515625" customWidth="1"/>
    <col min="4873" max="4873" width="13.140625" customWidth="1"/>
    <col min="4875" max="4875" width="13.85546875" customWidth="1"/>
    <col min="4877" max="4877" width="13.42578125" customWidth="1"/>
    <col min="4878" max="4878" width="13" customWidth="1"/>
    <col min="4879" max="4879" width="11.5703125" customWidth="1"/>
    <col min="4880" max="4880" width="12.5703125" customWidth="1"/>
    <col min="4881" max="4881" width="22.5703125" customWidth="1"/>
    <col min="4882" max="4882" width="13.140625" customWidth="1"/>
    <col min="4883" max="4883" width="14.28515625" customWidth="1"/>
    <col min="5121" max="5121" width="14.5703125" customWidth="1"/>
    <col min="5122" max="5122" width="25.7109375" customWidth="1"/>
    <col min="5123" max="5123" width="14" customWidth="1"/>
    <col min="5125" max="5125" width="14.7109375" customWidth="1"/>
    <col min="5127" max="5127" width="13.28515625" customWidth="1"/>
    <col min="5129" max="5129" width="13.140625" customWidth="1"/>
    <col min="5131" max="5131" width="13.85546875" customWidth="1"/>
    <col min="5133" max="5133" width="13.42578125" customWidth="1"/>
    <col min="5134" max="5134" width="13" customWidth="1"/>
    <col min="5135" max="5135" width="11.5703125" customWidth="1"/>
    <col min="5136" max="5136" width="12.5703125" customWidth="1"/>
    <col min="5137" max="5137" width="22.5703125" customWidth="1"/>
    <col min="5138" max="5138" width="13.140625" customWidth="1"/>
    <col min="5139" max="5139" width="14.28515625" customWidth="1"/>
    <col min="5377" max="5377" width="14.5703125" customWidth="1"/>
    <col min="5378" max="5378" width="25.7109375" customWidth="1"/>
    <col min="5379" max="5379" width="14" customWidth="1"/>
    <col min="5381" max="5381" width="14.7109375" customWidth="1"/>
    <col min="5383" max="5383" width="13.28515625" customWidth="1"/>
    <col min="5385" max="5385" width="13.140625" customWidth="1"/>
    <col min="5387" max="5387" width="13.85546875" customWidth="1"/>
    <col min="5389" max="5389" width="13.42578125" customWidth="1"/>
    <col min="5390" max="5390" width="13" customWidth="1"/>
    <col min="5391" max="5391" width="11.5703125" customWidth="1"/>
    <col min="5392" max="5392" width="12.5703125" customWidth="1"/>
    <col min="5393" max="5393" width="22.5703125" customWidth="1"/>
    <col min="5394" max="5394" width="13.140625" customWidth="1"/>
    <col min="5395" max="5395" width="14.28515625" customWidth="1"/>
    <col min="5633" max="5633" width="14.5703125" customWidth="1"/>
    <col min="5634" max="5634" width="25.7109375" customWidth="1"/>
    <col min="5635" max="5635" width="14" customWidth="1"/>
    <col min="5637" max="5637" width="14.7109375" customWidth="1"/>
    <col min="5639" max="5639" width="13.28515625" customWidth="1"/>
    <col min="5641" max="5641" width="13.140625" customWidth="1"/>
    <col min="5643" max="5643" width="13.85546875" customWidth="1"/>
    <col min="5645" max="5645" width="13.42578125" customWidth="1"/>
    <col min="5646" max="5646" width="13" customWidth="1"/>
    <col min="5647" max="5647" width="11.5703125" customWidth="1"/>
    <col min="5648" max="5648" width="12.5703125" customWidth="1"/>
    <col min="5649" max="5649" width="22.5703125" customWidth="1"/>
    <col min="5650" max="5650" width="13.140625" customWidth="1"/>
    <col min="5651" max="5651" width="14.28515625" customWidth="1"/>
    <col min="5889" max="5889" width="14.5703125" customWidth="1"/>
    <col min="5890" max="5890" width="25.7109375" customWidth="1"/>
    <col min="5891" max="5891" width="14" customWidth="1"/>
    <col min="5893" max="5893" width="14.7109375" customWidth="1"/>
    <col min="5895" max="5895" width="13.28515625" customWidth="1"/>
    <col min="5897" max="5897" width="13.140625" customWidth="1"/>
    <col min="5899" max="5899" width="13.85546875" customWidth="1"/>
    <col min="5901" max="5901" width="13.42578125" customWidth="1"/>
    <col min="5902" max="5902" width="13" customWidth="1"/>
    <col min="5903" max="5903" width="11.5703125" customWidth="1"/>
    <col min="5904" max="5904" width="12.5703125" customWidth="1"/>
    <col min="5905" max="5905" width="22.5703125" customWidth="1"/>
    <col min="5906" max="5906" width="13.140625" customWidth="1"/>
    <col min="5907" max="5907" width="14.28515625" customWidth="1"/>
    <col min="6145" max="6145" width="14.5703125" customWidth="1"/>
    <col min="6146" max="6146" width="25.7109375" customWidth="1"/>
    <col min="6147" max="6147" width="14" customWidth="1"/>
    <col min="6149" max="6149" width="14.7109375" customWidth="1"/>
    <col min="6151" max="6151" width="13.28515625" customWidth="1"/>
    <col min="6153" max="6153" width="13.140625" customWidth="1"/>
    <col min="6155" max="6155" width="13.85546875" customWidth="1"/>
    <col min="6157" max="6157" width="13.42578125" customWidth="1"/>
    <col min="6158" max="6158" width="13" customWidth="1"/>
    <col min="6159" max="6159" width="11.5703125" customWidth="1"/>
    <col min="6160" max="6160" width="12.5703125" customWidth="1"/>
    <col min="6161" max="6161" width="22.5703125" customWidth="1"/>
    <col min="6162" max="6162" width="13.140625" customWidth="1"/>
    <col min="6163" max="6163" width="14.28515625" customWidth="1"/>
    <col min="6401" max="6401" width="14.5703125" customWidth="1"/>
    <col min="6402" max="6402" width="25.7109375" customWidth="1"/>
    <col min="6403" max="6403" width="14" customWidth="1"/>
    <col min="6405" max="6405" width="14.7109375" customWidth="1"/>
    <col min="6407" max="6407" width="13.28515625" customWidth="1"/>
    <col min="6409" max="6409" width="13.140625" customWidth="1"/>
    <col min="6411" max="6411" width="13.85546875" customWidth="1"/>
    <col min="6413" max="6413" width="13.42578125" customWidth="1"/>
    <col min="6414" max="6414" width="13" customWidth="1"/>
    <col min="6415" max="6415" width="11.5703125" customWidth="1"/>
    <col min="6416" max="6416" width="12.5703125" customWidth="1"/>
    <col min="6417" max="6417" width="22.5703125" customWidth="1"/>
    <col min="6418" max="6418" width="13.140625" customWidth="1"/>
    <col min="6419" max="6419" width="14.28515625" customWidth="1"/>
    <col min="6657" max="6657" width="14.5703125" customWidth="1"/>
    <col min="6658" max="6658" width="25.7109375" customWidth="1"/>
    <col min="6659" max="6659" width="14" customWidth="1"/>
    <col min="6661" max="6661" width="14.7109375" customWidth="1"/>
    <col min="6663" max="6663" width="13.28515625" customWidth="1"/>
    <col min="6665" max="6665" width="13.140625" customWidth="1"/>
    <col min="6667" max="6667" width="13.85546875" customWidth="1"/>
    <col min="6669" max="6669" width="13.42578125" customWidth="1"/>
    <col min="6670" max="6670" width="13" customWidth="1"/>
    <col min="6671" max="6671" width="11.5703125" customWidth="1"/>
    <col min="6672" max="6672" width="12.5703125" customWidth="1"/>
    <col min="6673" max="6673" width="22.5703125" customWidth="1"/>
    <col min="6674" max="6674" width="13.140625" customWidth="1"/>
    <col min="6675" max="6675" width="14.28515625" customWidth="1"/>
    <col min="6913" max="6913" width="14.5703125" customWidth="1"/>
    <col min="6914" max="6914" width="25.7109375" customWidth="1"/>
    <col min="6915" max="6915" width="14" customWidth="1"/>
    <col min="6917" max="6917" width="14.7109375" customWidth="1"/>
    <col min="6919" max="6919" width="13.28515625" customWidth="1"/>
    <col min="6921" max="6921" width="13.140625" customWidth="1"/>
    <col min="6923" max="6923" width="13.85546875" customWidth="1"/>
    <col min="6925" max="6925" width="13.42578125" customWidth="1"/>
    <col min="6926" max="6926" width="13" customWidth="1"/>
    <col min="6927" max="6927" width="11.5703125" customWidth="1"/>
    <col min="6928" max="6928" width="12.5703125" customWidth="1"/>
    <col min="6929" max="6929" width="22.5703125" customWidth="1"/>
    <col min="6930" max="6930" width="13.140625" customWidth="1"/>
    <col min="6931" max="6931" width="14.28515625" customWidth="1"/>
    <col min="7169" max="7169" width="14.5703125" customWidth="1"/>
    <col min="7170" max="7170" width="25.7109375" customWidth="1"/>
    <col min="7171" max="7171" width="14" customWidth="1"/>
    <col min="7173" max="7173" width="14.7109375" customWidth="1"/>
    <col min="7175" max="7175" width="13.28515625" customWidth="1"/>
    <col min="7177" max="7177" width="13.140625" customWidth="1"/>
    <col min="7179" max="7179" width="13.85546875" customWidth="1"/>
    <col min="7181" max="7181" width="13.42578125" customWidth="1"/>
    <col min="7182" max="7182" width="13" customWidth="1"/>
    <col min="7183" max="7183" width="11.5703125" customWidth="1"/>
    <col min="7184" max="7184" width="12.5703125" customWidth="1"/>
    <col min="7185" max="7185" width="22.5703125" customWidth="1"/>
    <col min="7186" max="7186" width="13.140625" customWidth="1"/>
    <col min="7187" max="7187" width="14.28515625" customWidth="1"/>
    <col min="7425" max="7425" width="14.5703125" customWidth="1"/>
    <col min="7426" max="7426" width="25.7109375" customWidth="1"/>
    <col min="7427" max="7427" width="14" customWidth="1"/>
    <col min="7429" max="7429" width="14.7109375" customWidth="1"/>
    <col min="7431" max="7431" width="13.28515625" customWidth="1"/>
    <col min="7433" max="7433" width="13.140625" customWidth="1"/>
    <col min="7435" max="7435" width="13.85546875" customWidth="1"/>
    <col min="7437" max="7437" width="13.42578125" customWidth="1"/>
    <col min="7438" max="7438" width="13" customWidth="1"/>
    <col min="7439" max="7439" width="11.5703125" customWidth="1"/>
    <col min="7440" max="7440" width="12.5703125" customWidth="1"/>
    <col min="7441" max="7441" width="22.5703125" customWidth="1"/>
    <col min="7442" max="7442" width="13.140625" customWidth="1"/>
    <col min="7443" max="7443" width="14.28515625" customWidth="1"/>
    <col min="7681" max="7681" width="14.5703125" customWidth="1"/>
    <col min="7682" max="7682" width="25.7109375" customWidth="1"/>
    <col min="7683" max="7683" width="14" customWidth="1"/>
    <col min="7685" max="7685" width="14.7109375" customWidth="1"/>
    <col min="7687" max="7687" width="13.28515625" customWidth="1"/>
    <col min="7689" max="7689" width="13.140625" customWidth="1"/>
    <col min="7691" max="7691" width="13.85546875" customWidth="1"/>
    <col min="7693" max="7693" width="13.42578125" customWidth="1"/>
    <col min="7694" max="7694" width="13" customWidth="1"/>
    <col min="7695" max="7695" width="11.5703125" customWidth="1"/>
    <col min="7696" max="7696" width="12.5703125" customWidth="1"/>
    <col min="7697" max="7697" width="22.5703125" customWidth="1"/>
    <col min="7698" max="7698" width="13.140625" customWidth="1"/>
    <col min="7699" max="7699" width="14.28515625" customWidth="1"/>
    <col min="7937" max="7937" width="14.5703125" customWidth="1"/>
    <col min="7938" max="7938" width="25.7109375" customWidth="1"/>
    <col min="7939" max="7939" width="14" customWidth="1"/>
    <col min="7941" max="7941" width="14.7109375" customWidth="1"/>
    <col min="7943" max="7943" width="13.28515625" customWidth="1"/>
    <col min="7945" max="7945" width="13.140625" customWidth="1"/>
    <col min="7947" max="7947" width="13.85546875" customWidth="1"/>
    <col min="7949" max="7949" width="13.42578125" customWidth="1"/>
    <col min="7950" max="7950" width="13" customWidth="1"/>
    <col min="7951" max="7951" width="11.5703125" customWidth="1"/>
    <col min="7952" max="7952" width="12.5703125" customWidth="1"/>
    <col min="7953" max="7953" width="22.5703125" customWidth="1"/>
    <col min="7954" max="7954" width="13.140625" customWidth="1"/>
    <col min="7955" max="7955" width="14.28515625" customWidth="1"/>
    <col min="8193" max="8193" width="14.5703125" customWidth="1"/>
    <col min="8194" max="8194" width="25.7109375" customWidth="1"/>
    <col min="8195" max="8195" width="14" customWidth="1"/>
    <col min="8197" max="8197" width="14.7109375" customWidth="1"/>
    <col min="8199" max="8199" width="13.28515625" customWidth="1"/>
    <col min="8201" max="8201" width="13.140625" customWidth="1"/>
    <col min="8203" max="8203" width="13.85546875" customWidth="1"/>
    <col min="8205" max="8205" width="13.42578125" customWidth="1"/>
    <col min="8206" max="8206" width="13" customWidth="1"/>
    <col min="8207" max="8207" width="11.5703125" customWidth="1"/>
    <col min="8208" max="8208" width="12.5703125" customWidth="1"/>
    <col min="8209" max="8209" width="22.5703125" customWidth="1"/>
    <col min="8210" max="8210" width="13.140625" customWidth="1"/>
    <col min="8211" max="8211" width="14.28515625" customWidth="1"/>
    <col min="8449" max="8449" width="14.5703125" customWidth="1"/>
    <col min="8450" max="8450" width="25.7109375" customWidth="1"/>
    <col min="8451" max="8451" width="14" customWidth="1"/>
    <col min="8453" max="8453" width="14.7109375" customWidth="1"/>
    <col min="8455" max="8455" width="13.28515625" customWidth="1"/>
    <col min="8457" max="8457" width="13.140625" customWidth="1"/>
    <col min="8459" max="8459" width="13.85546875" customWidth="1"/>
    <col min="8461" max="8461" width="13.42578125" customWidth="1"/>
    <col min="8462" max="8462" width="13" customWidth="1"/>
    <col min="8463" max="8463" width="11.5703125" customWidth="1"/>
    <col min="8464" max="8464" width="12.5703125" customWidth="1"/>
    <col min="8465" max="8465" width="22.5703125" customWidth="1"/>
    <col min="8466" max="8466" width="13.140625" customWidth="1"/>
    <col min="8467" max="8467" width="14.28515625" customWidth="1"/>
    <col min="8705" max="8705" width="14.5703125" customWidth="1"/>
    <col min="8706" max="8706" width="25.7109375" customWidth="1"/>
    <col min="8707" max="8707" width="14" customWidth="1"/>
    <col min="8709" max="8709" width="14.7109375" customWidth="1"/>
    <col min="8711" max="8711" width="13.28515625" customWidth="1"/>
    <col min="8713" max="8713" width="13.140625" customWidth="1"/>
    <col min="8715" max="8715" width="13.85546875" customWidth="1"/>
    <col min="8717" max="8717" width="13.42578125" customWidth="1"/>
    <col min="8718" max="8718" width="13" customWidth="1"/>
    <col min="8719" max="8719" width="11.5703125" customWidth="1"/>
    <col min="8720" max="8720" width="12.5703125" customWidth="1"/>
    <col min="8721" max="8721" width="22.5703125" customWidth="1"/>
    <col min="8722" max="8722" width="13.140625" customWidth="1"/>
    <col min="8723" max="8723" width="14.28515625" customWidth="1"/>
    <col min="8961" max="8961" width="14.5703125" customWidth="1"/>
    <col min="8962" max="8962" width="25.7109375" customWidth="1"/>
    <col min="8963" max="8963" width="14" customWidth="1"/>
    <col min="8965" max="8965" width="14.7109375" customWidth="1"/>
    <col min="8967" max="8967" width="13.28515625" customWidth="1"/>
    <col min="8969" max="8969" width="13.140625" customWidth="1"/>
    <col min="8971" max="8971" width="13.85546875" customWidth="1"/>
    <col min="8973" max="8973" width="13.42578125" customWidth="1"/>
    <col min="8974" max="8974" width="13" customWidth="1"/>
    <col min="8975" max="8975" width="11.5703125" customWidth="1"/>
    <col min="8976" max="8976" width="12.5703125" customWidth="1"/>
    <col min="8977" max="8977" width="22.5703125" customWidth="1"/>
    <col min="8978" max="8978" width="13.140625" customWidth="1"/>
    <col min="8979" max="8979" width="14.28515625" customWidth="1"/>
    <col min="9217" max="9217" width="14.5703125" customWidth="1"/>
    <col min="9218" max="9218" width="25.7109375" customWidth="1"/>
    <col min="9219" max="9219" width="14" customWidth="1"/>
    <col min="9221" max="9221" width="14.7109375" customWidth="1"/>
    <col min="9223" max="9223" width="13.28515625" customWidth="1"/>
    <col min="9225" max="9225" width="13.140625" customWidth="1"/>
    <col min="9227" max="9227" width="13.85546875" customWidth="1"/>
    <col min="9229" max="9229" width="13.42578125" customWidth="1"/>
    <col min="9230" max="9230" width="13" customWidth="1"/>
    <col min="9231" max="9231" width="11.5703125" customWidth="1"/>
    <col min="9232" max="9232" width="12.5703125" customWidth="1"/>
    <col min="9233" max="9233" width="22.5703125" customWidth="1"/>
    <col min="9234" max="9234" width="13.140625" customWidth="1"/>
    <col min="9235" max="9235" width="14.28515625" customWidth="1"/>
    <col min="9473" max="9473" width="14.5703125" customWidth="1"/>
    <col min="9474" max="9474" width="25.7109375" customWidth="1"/>
    <col min="9475" max="9475" width="14" customWidth="1"/>
    <col min="9477" max="9477" width="14.7109375" customWidth="1"/>
    <col min="9479" max="9479" width="13.28515625" customWidth="1"/>
    <col min="9481" max="9481" width="13.140625" customWidth="1"/>
    <col min="9483" max="9483" width="13.85546875" customWidth="1"/>
    <col min="9485" max="9485" width="13.42578125" customWidth="1"/>
    <col min="9486" max="9486" width="13" customWidth="1"/>
    <col min="9487" max="9487" width="11.5703125" customWidth="1"/>
    <col min="9488" max="9488" width="12.5703125" customWidth="1"/>
    <col min="9489" max="9489" width="22.5703125" customWidth="1"/>
    <col min="9490" max="9490" width="13.140625" customWidth="1"/>
    <col min="9491" max="9491" width="14.28515625" customWidth="1"/>
    <col min="9729" max="9729" width="14.5703125" customWidth="1"/>
    <col min="9730" max="9730" width="25.7109375" customWidth="1"/>
    <col min="9731" max="9731" width="14" customWidth="1"/>
    <col min="9733" max="9733" width="14.7109375" customWidth="1"/>
    <col min="9735" max="9735" width="13.28515625" customWidth="1"/>
    <col min="9737" max="9737" width="13.140625" customWidth="1"/>
    <col min="9739" max="9739" width="13.85546875" customWidth="1"/>
    <col min="9741" max="9741" width="13.42578125" customWidth="1"/>
    <col min="9742" max="9742" width="13" customWidth="1"/>
    <col min="9743" max="9743" width="11.5703125" customWidth="1"/>
    <col min="9744" max="9744" width="12.5703125" customWidth="1"/>
    <col min="9745" max="9745" width="22.5703125" customWidth="1"/>
    <col min="9746" max="9746" width="13.140625" customWidth="1"/>
    <col min="9747" max="9747" width="14.28515625" customWidth="1"/>
    <col min="9985" max="9985" width="14.5703125" customWidth="1"/>
    <col min="9986" max="9986" width="25.7109375" customWidth="1"/>
    <col min="9987" max="9987" width="14" customWidth="1"/>
    <col min="9989" max="9989" width="14.7109375" customWidth="1"/>
    <col min="9991" max="9991" width="13.28515625" customWidth="1"/>
    <col min="9993" max="9993" width="13.140625" customWidth="1"/>
    <col min="9995" max="9995" width="13.85546875" customWidth="1"/>
    <col min="9997" max="9997" width="13.42578125" customWidth="1"/>
    <col min="9998" max="9998" width="13" customWidth="1"/>
    <col min="9999" max="9999" width="11.5703125" customWidth="1"/>
    <col min="10000" max="10000" width="12.5703125" customWidth="1"/>
    <col min="10001" max="10001" width="22.5703125" customWidth="1"/>
    <col min="10002" max="10002" width="13.140625" customWidth="1"/>
    <col min="10003" max="10003" width="14.28515625" customWidth="1"/>
    <col min="10241" max="10241" width="14.5703125" customWidth="1"/>
    <col min="10242" max="10242" width="25.7109375" customWidth="1"/>
    <col min="10243" max="10243" width="14" customWidth="1"/>
    <col min="10245" max="10245" width="14.7109375" customWidth="1"/>
    <col min="10247" max="10247" width="13.28515625" customWidth="1"/>
    <col min="10249" max="10249" width="13.140625" customWidth="1"/>
    <col min="10251" max="10251" width="13.85546875" customWidth="1"/>
    <col min="10253" max="10253" width="13.42578125" customWidth="1"/>
    <col min="10254" max="10254" width="13" customWidth="1"/>
    <col min="10255" max="10255" width="11.5703125" customWidth="1"/>
    <col min="10256" max="10256" width="12.5703125" customWidth="1"/>
    <col min="10257" max="10257" width="22.5703125" customWidth="1"/>
    <col min="10258" max="10258" width="13.140625" customWidth="1"/>
    <col min="10259" max="10259" width="14.28515625" customWidth="1"/>
    <col min="10497" max="10497" width="14.5703125" customWidth="1"/>
    <col min="10498" max="10498" width="25.7109375" customWidth="1"/>
    <col min="10499" max="10499" width="14" customWidth="1"/>
    <col min="10501" max="10501" width="14.7109375" customWidth="1"/>
    <col min="10503" max="10503" width="13.28515625" customWidth="1"/>
    <col min="10505" max="10505" width="13.140625" customWidth="1"/>
    <col min="10507" max="10507" width="13.85546875" customWidth="1"/>
    <col min="10509" max="10509" width="13.42578125" customWidth="1"/>
    <col min="10510" max="10510" width="13" customWidth="1"/>
    <col min="10511" max="10511" width="11.5703125" customWidth="1"/>
    <col min="10512" max="10512" width="12.5703125" customWidth="1"/>
    <col min="10513" max="10513" width="22.5703125" customWidth="1"/>
    <col min="10514" max="10514" width="13.140625" customWidth="1"/>
    <col min="10515" max="10515" width="14.28515625" customWidth="1"/>
    <col min="10753" max="10753" width="14.5703125" customWidth="1"/>
    <col min="10754" max="10754" width="25.7109375" customWidth="1"/>
    <col min="10755" max="10755" width="14" customWidth="1"/>
    <col min="10757" max="10757" width="14.7109375" customWidth="1"/>
    <col min="10759" max="10759" width="13.28515625" customWidth="1"/>
    <col min="10761" max="10761" width="13.140625" customWidth="1"/>
    <col min="10763" max="10763" width="13.85546875" customWidth="1"/>
    <col min="10765" max="10765" width="13.42578125" customWidth="1"/>
    <col min="10766" max="10766" width="13" customWidth="1"/>
    <col min="10767" max="10767" width="11.5703125" customWidth="1"/>
    <col min="10768" max="10768" width="12.5703125" customWidth="1"/>
    <col min="10769" max="10769" width="22.5703125" customWidth="1"/>
    <col min="10770" max="10770" width="13.140625" customWidth="1"/>
    <col min="10771" max="10771" width="14.28515625" customWidth="1"/>
    <col min="11009" max="11009" width="14.5703125" customWidth="1"/>
    <col min="11010" max="11010" width="25.7109375" customWidth="1"/>
    <col min="11011" max="11011" width="14" customWidth="1"/>
    <col min="11013" max="11013" width="14.7109375" customWidth="1"/>
    <col min="11015" max="11015" width="13.28515625" customWidth="1"/>
    <col min="11017" max="11017" width="13.140625" customWidth="1"/>
    <col min="11019" max="11019" width="13.85546875" customWidth="1"/>
    <col min="11021" max="11021" width="13.42578125" customWidth="1"/>
    <col min="11022" max="11022" width="13" customWidth="1"/>
    <col min="11023" max="11023" width="11.5703125" customWidth="1"/>
    <col min="11024" max="11024" width="12.5703125" customWidth="1"/>
    <col min="11025" max="11025" width="22.5703125" customWidth="1"/>
    <col min="11026" max="11026" width="13.140625" customWidth="1"/>
    <col min="11027" max="11027" width="14.28515625" customWidth="1"/>
    <col min="11265" max="11265" width="14.5703125" customWidth="1"/>
    <col min="11266" max="11266" width="25.7109375" customWidth="1"/>
    <col min="11267" max="11267" width="14" customWidth="1"/>
    <col min="11269" max="11269" width="14.7109375" customWidth="1"/>
    <col min="11271" max="11271" width="13.28515625" customWidth="1"/>
    <col min="11273" max="11273" width="13.140625" customWidth="1"/>
    <col min="11275" max="11275" width="13.85546875" customWidth="1"/>
    <col min="11277" max="11277" width="13.42578125" customWidth="1"/>
    <col min="11278" max="11278" width="13" customWidth="1"/>
    <col min="11279" max="11279" width="11.5703125" customWidth="1"/>
    <col min="11280" max="11280" width="12.5703125" customWidth="1"/>
    <col min="11281" max="11281" width="22.5703125" customWidth="1"/>
    <col min="11282" max="11282" width="13.140625" customWidth="1"/>
    <col min="11283" max="11283" width="14.28515625" customWidth="1"/>
    <col min="11521" max="11521" width="14.5703125" customWidth="1"/>
    <col min="11522" max="11522" width="25.7109375" customWidth="1"/>
    <col min="11523" max="11523" width="14" customWidth="1"/>
    <col min="11525" max="11525" width="14.7109375" customWidth="1"/>
    <col min="11527" max="11527" width="13.28515625" customWidth="1"/>
    <col min="11529" max="11529" width="13.140625" customWidth="1"/>
    <col min="11531" max="11531" width="13.85546875" customWidth="1"/>
    <col min="11533" max="11533" width="13.42578125" customWidth="1"/>
    <col min="11534" max="11534" width="13" customWidth="1"/>
    <col min="11535" max="11535" width="11.5703125" customWidth="1"/>
    <col min="11536" max="11536" width="12.5703125" customWidth="1"/>
    <col min="11537" max="11537" width="22.5703125" customWidth="1"/>
    <col min="11538" max="11538" width="13.140625" customWidth="1"/>
    <col min="11539" max="11539" width="14.28515625" customWidth="1"/>
    <col min="11777" max="11777" width="14.5703125" customWidth="1"/>
    <col min="11778" max="11778" width="25.7109375" customWidth="1"/>
    <col min="11779" max="11779" width="14" customWidth="1"/>
    <col min="11781" max="11781" width="14.7109375" customWidth="1"/>
    <col min="11783" max="11783" width="13.28515625" customWidth="1"/>
    <col min="11785" max="11785" width="13.140625" customWidth="1"/>
    <col min="11787" max="11787" width="13.85546875" customWidth="1"/>
    <col min="11789" max="11789" width="13.42578125" customWidth="1"/>
    <col min="11790" max="11790" width="13" customWidth="1"/>
    <col min="11791" max="11791" width="11.5703125" customWidth="1"/>
    <col min="11792" max="11792" width="12.5703125" customWidth="1"/>
    <col min="11793" max="11793" width="22.5703125" customWidth="1"/>
    <col min="11794" max="11794" width="13.140625" customWidth="1"/>
    <col min="11795" max="11795" width="14.28515625" customWidth="1"/>
    <col min="12033" max="12033" width="14.5703125" customWidth="1"/>
    <col min="12034" max="12034" width="25.7109375" customWidth="1"/>
    <col min="12035" max="12035" width="14" customWidth="1"/>
    <col min="12037" max="12037" width="14.7109375" customWidth="1"/>
    <col min="12039" max="12039" width="13.28515625" customWidth="1"/>
    <col min="12041" max="12041" width="13.140625" customWidth="1"/>
    <col min="12043" max="12043" width="13.85546875" customWidth="1"/>
    <col min="12045" max="12045" width="13.42578125" customWidth="1"/>
    <col min="12046" max="12046" width="13" customWidth="1"/>
    <col min="12047" max="12047" width="11.5703125" customWidth="1"/>
    <col min="12048" max="12048" width="12.5703125" customWidth="1"/>
    <col min="12049" max="12049" width="22.5703125" customWidth="1"/>
    <col min="12050" max="12050" width="13.140625" customWidth="1"/>
    <col min="12051" max="12051" width="14.28515625" customWidth="1"/>
    <col min="12289" max="12289" width="14.5703125" customWidth="1"/>
    <col min="12290" max="12290" width="25.7109375" customWidth="1"/>
    <col min="12291" max="12291" width="14" customWidth="1"/>
    <col min="12293" max="12293" width="14.7109375" customWidth="1"/>
    <col min="12295" max="12295" width="13.28515625" customWidth="1"/>
    <col min="12297" max="12297" width="13.140625" customWidth="1"/>
    <col min="12299" max="12299" width="13.85546875" customWidth="1"/>
    <col min="12301" max="12301" width="13.42578125" customWidth="1"/>
    <col min="12302" max="12302" width="13" customWidth="1"/>
    <col min="12303" max="12303" width="11.5703125" customWidth="1"/>
    <col min="12304" max="12304" width="12.5703125" customWidth="1"/>
    <col min="12305" max="12305" width="22.5703125" customWidth="1"/>
    <col min="12306" max="12306" width="13.140625" customWidth="1"/>
    <col min="12307" max="12307" width="14.28515625" customWidth="1"/>
    <col min="12545" max="12545" width="14.5703125" customWidth="1"/>
    <col min="12546" max="12546" width="25.7109375" customWidth="1"/>
    <col min="12547" max="12547" width="14" customWidth="1"/>
    <col min="12549" max="12549" width="14.7109375" customWidth="1"/>
    <col min="12551" max="12551" width="13.28515625" customWidth="1"/>
    <col min="12553" max="12553" width="13.140625" customWidth="1"/>
    <col min="12555" max="12555" width="13.85546875" customWidth="1"/>
    <col min="12557" max="12557" width="13.42578125" customWidth="1"/>
    <col min="12558" max="12558" width="13" customWidth="1"/>
    <col min="12559" max="12559" width="11.5703125" customWidth="1"/>
    <col min="12560" max="12560" width="12.5703125" customWidth="1"/>
    <col min="12561" max="12561" width="22.5703125" customWidth="1"/>
    <col min="12562" max="12562" width="13.140625" customWidth="1"/>
    <col min="12563" max="12563" width="14.28515625" customWidth="1"/>
    <col min="12801" max="12801" width="14.5703125" customWidth="1"/>
    <col min="12802" max="12802" width="25.7109375" customWidth="1"/>
    <col min="12803" max="12803" width="14" customWidth="1"/>
    <col min="12805" max="12805" width="14.7109375" customWidth="1"/>
    <col min="12807" max="12807" width="13.28515625" customWidth="1"/>
    <col min="12809" max="12809" width="13.140625" customWidth="1"/>
    <col min="12811" max="12811" width="13.85546875" customWidth="1"/>
    <col min="12813" max="12813" width="13.42578125" customWidth="1"/>
    <col min="12814" max="12814" width="13" customWidth="1"/>
    <col min="12815" max="12815" width="11.5703125" customWidth="1"/>
    <col min="12816" max="12816" width="12.5703125" customWidth="1"/>
    <col min="12817" max="12817" width="22.5703125" customWidth="1"/>
    <col min="12818" max="12818" width="13.140625" customWidth="1"/>
    <col min="12819" max="12819" width="14.28515625" customWidth="1"/>
    <col min="13057" max="13057" width="14.5703125" customWidth="1"/>
    <col min="13058" max="13058" width="25.7109375" customWidth="1"/>
    <col min="13059" max="13059" width="14" customWidth="1"/>
    <col min="13061" max="13061" width="14.7109375" customWidth="1"/>
    <col min="13063" max="13063" width="13.28515625" customWidth="1"/>
    <col min="13065" max="13065" width="13.140625" customWidth="1"/>
    <col min="13067" max="13067" width="13.85546875" customWidth="1"/>
    <col min="13069" max="13069" width="13.42578125" customWidth="1"/>
    <col min="13070" max="13070" width="13" customWidth="1"/>
    <col min="13071" max="13071" width="11.5703125" customWidth="1"/>
    <col min="13072" max="13072" width="12.5703125" customWidth="1"/>
    <col min="13073" max="13073" width="22.5703125" customWidth="1"/>
    <col min="13074" max="13074" width="13.140625" customWidth="1"/>
    <col min="13075" max="13075" width="14.28515625" customWidth="1"/>
    <col min="13313" max="13313" width="14.5703125" customWidth="1"/>
    <col min="13314" max="13314" width="25.7109375" customWidth="1"/>
    <col min="13315" max="13315" width="14" customWidth="1"/>
    <col min="13317" max="13317" width="14.7109375" customWidth="1"/>
    <col min="13319" max="13319" width="13.28515625" customWidth="1"/>
    <col min="13321" max="13321" width="13.140625" customWidth="1"/>
    <col min="13323" max="13323" width="13.85546875" customWidth="1"/>
    <col min="13325" max="13325" width="13.42578125" customWidth="1"/>
    <col min="13326" max="13326" width="13" customWidth="1"/>
    <col min="13327" max="13327" width="11.5703125" customWidth="1"/>
    <col min="13328" max="13328" width="12.5703125" customWidth="1"/>
    <col min="13329" max="13329" width="22.5703125" customWidth="1"/>
    <col min="13330" max="13330" width="13.140625" customWidth="1"/>
    <col min="13331" max="13331" width="14.28515625" customWidth="1"/>
    <col min="13569" max="13569" width="14.5703125" customWidth="1"/>
    <col min="13570" max="13570" width="25.7109375" customWidth="1"/>
    <col min="13571" max="13571" width="14" customWidth="1"/>
    <col min="13573" max="13573" width="14.7109375" customWidth="1"/>
    <col min="13575" max="13575" width="13.28515625" customWidth="1"/>
    <col min="13577" max="13577" width="13.140625" customWidth="1"/>
    <col min="13579" max="13579" width="13.85546875" customWidth="1"/>
    <col min="13581" max="13581" width="13.42578125" customWidth="1"/>
    <col min="13582" max="13582" width="13" customWidth="1"/>
    <col min="13583" max="13583" width="11.5703125" customWidth="1"/>
    <col min="13584" max="13584" width="12.5703125" customWidth="1"/>
    <col min="13585" max="13585" width="22.5703125" customWidth="1"/>
    <col min="13586" max="13586" width="13.140625" customWidth="1"/>
    <col min="13587" max="13587" width="14.28515625" customWidth="1"/>
    <col min="13825" max="13825" width="14.5703125" customWidth="1"/>
    <col min="13826" max="13826" width="25.7109375" customWidth="1"/>
    <col min="13827" max="13827" width="14" customWidth="1"/>
    <col min="13829" max="13829" width="14.7109375" customWidth="1"/>
    <col min="13831" max="13831" width="13.28515625" customWidth="1"/>
    <col min="13833" max="13833" width="13.140625" customWidth="1"/>
    <col min="13835" max="13835" width="13.85546875" customWidth="1"/>
    <col min="13837" max="13837" width="13.42578125" customWidth="1"/>
    <col min="13838" max="13838" width="13" customWidth="1"/>
    <col min="13839" max="13839" width="11.5703125" customWidth="1"/>
    <col min="13840" max="13840" width="12.5703125" customWidth="1"/>
    <col min="13841" max="13841" width="22.5703125" customWidth="1"/>
    <col min="13842" max="13842" width="13.140625" customWidth="1"/>
    <col min="13843" max="13843" width="14.28515625" customWidth="1"/>
    <col min="14081" max="14081" width="14.5703125" customWidth="1"/>
    <col min="14082" max="14082" width="25.7109375" customWidth="1"/>
    <col min="14083" max="14083" width="14" customWidth="1"/>
    <col min="14085" max="14085" width="14.7109375" customWidth="1"/>
    <col min="14087" max="14087" width="13.28515625" customWidth="1"/>
    <col min="14089" max="14089" width="13.140625" customWidth="1"/>
    <col min="14091" max="14091" width="13.85546875" customWidth="1"/>
    <col min="14093" max="14093" width="13.42578125" customWidth="1"/>
    <col min="14094" max="14094" width="13" customWidth="1"/>
    <col min="14095" max="14095" width="11.5703125" customWidth="1"/>
    <col min="14096" max="14096" width="12.5703125" customWidth="1"/>
    <col min="14097" max="14097" width="22.5703125" customWidth="1"/>
    <col min="14098" max="14098" width="13.140625" customWidth="1"/>
    <col min="14099" max="14099" width="14.28515625" customWidth="1"/>
    <col min="14337" max="14337" width="14.5703125" customWidth="1"/>
    <col min="14338" max="14338" width="25.7109375" customWidth="1"/>
    <col min="14339" max="14339" width="14" customWidth="1"/>
    <col min="14341" max="14341" width="14.7109375" customWidth="1"/>
    <col min="14343" max="14343" width="13.28515625" customWidth="1"/>
    <col min="14345" max="14345" width="13.140625" customWidth="1"/>
    <col min="14347" max="14347" width="13.85546875" customWidth="1"/>
    <col min="14349" max="14349" width="13.42578125" customWidth="1"/>
    <col min="14350" max="14350" width="13" customWidth="1"/>
    <col min="14351" max="14351" width="11.5703125" customWidth="1"/>
    <col min="14352" max="14352" width="12.5703125" customWidth="1"/>
    <col min="14353" max="14353" width="22.5703125" customWidth="1"/>
    <col min="14354" max="14354" width="13.140625" customWidth="1"/>
    <col min="14355" max="14355" width="14.28515625" customWidth="1"/>
    <col min="14593" max="14593" width="14.5703125" customWidth="1"/>
    <col min="14594" max="14594" width="25.7109375" customWidth="1"/>
    <col min="14595" max="14595" width="14" customWidth="1"/>
    <col min="14597" max="14597" width="14.7109375" customWidth="1"/>
    <col min="14599" max="14599" width="13.28515625" customWidth="1"/>
    <col min="14601" max="14601" width="13.140625" customWidth="1"/>
    <col min="14603" max="14603" width="13.85546875" customWidth="1"/>
    <col min="14605" max="14605" width="13.42578125" customWidth="1"/>
    <col min="14606" max="14606" width="13" customWidth="1"/>
    <col min="14607" max="14607" width="11.5703125" customWidth="1"/>
    <col min="14608" max="14608" width="12.5703125" customWidth="1"/>
    <col min="14609" max="14609" width="22.5703125" customWidth="1"/>
    <col min="14610" max="14610" width="13.140625" customWidth="1"/>
    <col min="14611" max="14611" width="14.28515625" customWidth="1"/>
    <col min="14849" max="14849" width="14.5703125" customWidth="1"/>
    <col min="14850" max="14850" width="25.7109375" customWidth="1"/>
    <col min="14851" max="14851" width="14" customWidth="1"/>
    <col min="14853" max="14853" width="14.7109375" customWidth="1"/>
    <col min="14855" max="14855" width="13.28515625" customWidth="1"/>
    <col min="14857" max="14857" width="13.140625" customWidth="1"/>
    <col min="14859" max="14859" width="13.85546875" customWidth="1"/>
    <col min="14861" max="14861" width="13.42578125" customWidth="1"/>
    <col min="14862" max="14862" width="13" customWidth="1"/>
    <col min="14863" max="14863" width="11.5703125" customWidth="1"/>
    <col min="14864" max="14864" width="12.5703125" customWidth="1"/>
    <col min="14865" max="14865" width="22.5703125" customWidth="1"/>
    <col min="14866" max="14866" width="13.140625" customWidth="1"/>
    <col min="14867" max="14867" width="14.28515625" customWidth="1"/>
    <col min="15105" max="15105" width="14.5703125" customWidth="1"/>
    <col min="15106" max="15106" width="25.7109375" customWidth="1"/>
    <col min="15107" max="15107" width="14" customWidth="1"/>
    <col min="15109" max="15109" width="14.7109375" customWidth="1"/>
    <col min="15111" max="15111" width="13.28515625" customWidth="1"/>
    <col min="15113" max="15113" width="13.140625" customWidth="1"/>
    <col min="15115" max="15115" width="13.85546875" customWidth="1"/>
    <col min="15117" max="15117" width="13.42578125" customWidth="1"/>
    <col min="15118" max="15118" width="13" customWidth="1"/>
    <col min="15119" max="15119" width="11.5703125" customWidth="1"/>
    <col min="15120" max="15120" width="12.5703125" customWidth="1"/>
    <col min="15121" max="15121" width="22.5703125" customWidth="1"/>
    <col min="15122" max="15122" width="13.140625" customWidth="1"/>
    <col min="15123" max="15123" width="14.28515625" customWidth="1"/>
    <col min="15361" max="15361" width="14.5703125" customWidth="1"/>
    <col min="15362" max="15362" width="25.7109375" customWidth="1"/>
    <col min="15363" max="15363" width="14" customWidth="1"/>
    <col min="15365" max="15365" width="14.7109375" customWidth="1"/>
    <col min="15367" max="15367" width="13.28515625" customWidth="1"/>
    <col min="15369" max="15369" width="13.140625" customWidth="1"/>
    <col min="15371" max="15371" width="13.85546875" customWidth="1"/>
    <col min="15373" max="15373" width="13.42578125" customWidth="1"/>
    <col min="15374" max="15374" width="13" customWidth="1"/>
    <col min="15375" max="15375" width="11.5703125" customWidth="1"/>
    <col min="15376" max="15376" width="12.5703125" customWidth="1"/>
    <col min="15377" max="15377" width="22.5703125" customWidth="1"/>
    <col min="15378" max="15378" width="13.140625" customWidth="1"/>
    <col min="15379" max="15379" width="14.28515625" customWidth="1"/>
    <col min="15617" max="15617" width="14.5703125" customWidth="1"/>
    <col min="15618" max="15618" width="25.7109375" customWidth="1"/>
    <col min="15619" max="15619" width="14" customWidth="1"/>
    <col min="15621" max="15621" width="14.7109375" customWidth="1"/>
    <col min="15623" max="15623" width="13.28515625" customWidth="1"/>
    <col min="15625" max="15625" width="13.140625" customWidth="1"/>
    <col min="15627" max="15627" width="13.85546875" customWidth="1"/>
    <col min="15629" max="15629" width="13.42578125" customWidth="1"/>
    <col min="15630" max="15630" width="13" customWidth="1"/>
    <col min="15631" max="15631" width="11.5703125" customWidth="1"/>
    <col min="15632" max="15632" width="12.5703125" customWidth="1"/>
    <col min="15633" max="15633" width="22.5703125" customWidth="1"/>
    <col min="15634" max="15634" width="13.140625" customWidth="1"/>
    <col min="15635" max="15635" width="14.28515625" customWidth="1"/>
    <col min="15873" max="15873" width="14.5703125" customWidth="1"/>
    <col min="15874" max="15874" width="25.7109375" customWidth="1"/>
    <col min="15875" max="15875" width="14" customWidth="1"/>
    <col min="15877" max="15877" width="14.7109375" customWidth="1"/>
    <col min="15879" max="15879" width="13.28515625" customWidth="1"/>
    <col min="15881" max="15881" width="13.140625" customWidth="1"/>
    <col min="15883" max="15883" width="13.85546875" customWidth="1"/>
    <col min="15885" max="15885" width="13.42578125" customWidth="1"/>
    <col min="15886" max="15886" width="13" customWidth="1"/>
    <col min="15887" max="15887" width="11.5703125" customWidth="1"/>
    <col min="15888" max="15888" width="12.5703125" customWidth="1"/>
    <col min="15889" max="15889" width="22.5703125" customWidth="1"/>
    <col min="15890" max="15890" width="13.140625" customWidth="1"/>
    <col min="15891" max="15891" width="14.28515625" customWidth="1"/>
    <col min="16129" max="16129" width="14.5703125" customWidth="1"/>
    <col min="16130" max="16130" width="25.7109375" customWidth="1"/>
    <col min="16131" max="16131" width="14" customWidth="1"/>
    <col min="16133" max="16133" width="14.7109375" customWidth="1"/>
    <col min="16135" max="16135" width="13.28515625" customWidth="1"/>
    <col min="16137" max="16137" width="13.140625" customWidth="1"/>
    <col min="16139" max="16139" width="13.85546875" customWidth="1"/>
    <col min="16141" max="16141" width="13.42578125" customWidth="1"/>
    <col min="16142" max="16142" width="13" customWidth="1"/>
    <col min="16143" max="16143" width="11.5703125" customWidth="1"/>
    <col min="16144" max="16144" width="12.5703125" customWidth="1"/>
    <col min="16145" max="16145" width="22.5703125" customWidth="1"/>
    <col min="16146" max="16146" width="13.140625" customWidth="1"/>
    <col min="16147" max="16147" width="14.2851562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13</v>
      </c>
      <c r="B6">
        <v>8</v>
      </c>
      <c r="C6">
        <v>956.36743999999987</v>
      </c>
      <c r="D6">
        <v>2</v>
      </c>
      <c r="E6">
        <v>820.4996799999999</v>
      </c>
      <c r="F6">
        <v>3</v>
      </c>
      <c r="G6">
        <v>314.55591999999996</v>
      </c>
      <c r="H6">
        <v>8</v>
      </c>
      <c r="I6">
        <v>115.84316799999999</v>
      </c>
      <c r="J6">
        <v>9</v>
      </c>
      <c r="K6">
        <v>46.909464</v>
      </c>
      <c r="L6">
        <v>7</v>
      </c>
      <c r="M6">
        <v>20.258419999999997</v>
      </c>
      <c r="N6">
        <v>3</v>
      </c>
      <c r="O6">
        <v>8.9069707999999999</v>
      </c>
      <c r="P6" s="3">
        <f>(B6*C6)+(D6*E6)+(F6*G6)+(H6*I6)+(J6*K6)+(L6*M6)+(N6*O6)</f>
        <v>11753.067012399999</v>
      </c>
    </row>
    <row r="7" spans="1:19" x14ac:dyDescent="0.2">
      <c r="A7">
        <v>20000</v>
      </c>
      <c r="B7">
        <v>58</v>
      </c>
      <c r="C7">
        <v>956.36743999999987</v>
      </c>
      <c r="D7">
        <v>16</v>
      </c>
      <c r="E7">
        <v>820.4996799999999</v>
      </c>
      <c r="F7">
        <v>50</v>
      </c>
      <c r="G7">
        <v>314.55591999999996</v>
      </c>
      <c r="H7">
        <v>83</v>
      </c>
      <c r="I7">
        <v>115.84316799999999</v>
      </c>
      <c r="J7">
        <v>153</v>
      </c>
      <c r="K7">
        <v>46.909464</v>
      </c>
      <c r="L7">
        <v>209</v>
      </c>
      <c r="M7">
        <v>20.258419999999997</v>
      </c>
      <c r="N7">
        <v>179</v>
      </c>
      <c r="O7">
        <v>8.9069707999999999</v>
      </c>
      <c r="P7" s="3">
        <f t="shared" ref="P7:P24" si="0">(B7*C7)+(D7*E7)+(F7*G7)+(H7*I7)+(J7*K7)+(L7*M7)+(N7*O7)</f>
        <v>106945.5908892</v>
      </c>
    </row>
    <row r="8" spans="1:19" x14ac:dyDescent="0.2">
      <c r="A8">
        <v>30000</v>
      </c>
      <c r="B8">
        <v>38</v>
      </c>
      <c r="C8">
        <v>956.36743999999987</v>
      </c>
      <c r="D8">
        <v>18</v>
      </c>
      <c r="E8">
        <v>820.4996799999999</v>
      </c>
      <c r="F8">
        <v>34</v>
      </c>
      <c r="G8">
        <v>314.55591999999996</v>
      </c>
      <c r="H8">
        <v>76</v>
      </c>
      <c r="I8">
        <v>115.84316799999999</v>
      </c>
      <c r="J8">
        <v>152</v>
      </c>
      <c r="K8">
        <v>46.909464</v>
      </c>
      <c r="L8">
        <v>188</v>
      </c>
      <c r="M8">
        <v>20.258419999999997</v>
      </c>
      <c r="N8">
        <v>183</v>
      </c>
      <c r="O8">
        <v>8.9069707999999999</v>
      </c>
      <c r="P8" s="3">
        <f t="shared" si="0"/>
        <v>83178.736152399986</v>
      </c>
    </row>
    <row r="9" spans="1:19" x14ac:dyDescent="0.2">
      <c r="A9">
        <v>40000</v>
      </c>
      <c r="B9">
        <v>37</v>
      </c>
      <c r="C9">
        <v>956.36743999999987</v>
      </c>
      <c r="D9">
        <v>15</v>
      </c>
      <c r="E9">
        <v>820.4996799999999</v>
      </c>
      <c r="F9">
        <v>41</v>
      </c>
      <c r="G9">
        <v>314.55591999999996</v>
      </c>
      <c r="H9">
        <v>114</v>
      </c>
      <c r="I9">
        <v>115.84316799999999</v>
      </c>
      <c r="J9">
        <v>196</v>
      </c>
      <c r="K9">
        <v>46.909464</v>
      </c>
      <c r="L9">
        <v>235</v>
      </c>
      <c r="M9">
        <v>20.258419999999997</v>
      </c>
      <c r="N9">
        <v>216</v>
      </c>
      <c r="O9">
        <v>8.9069707999999999</v>
      </c>
      <c r="P9" s="3">
        <f t="shared" si="0"/>
        <v>89674.893688799988</v>
      </c>
    </row>
    <row r="10" spans="1:19" x14ac:dyDescent="0.2">
      <c r="A10">
        <v>50000</v>
      </c>
      <c r="B10">
        <v>9</v>
      </c>
      <c r="C10">
        <v>956.36743999999987</v>
      </c>
      <c r="D10">
        <v>14</v>
      </c>
      <c r="E10">
        <v>820.4996799999999</v>
      </c>
      <c r="F10">
        <v>40</v>
      </c>
      <c r="G10">
        <v>314.55591999999996</v>
      </c>
      <c r="H10">
        <v>112</v>
      </c>
      <c r="I10">
        <v>115.84316799999999</v>
      </c>
      <c r="J10">
        <v>234</v>
      </c>
      <c r="K10">
        <v>46.909464</v>
      </c>
      <c r="L10">
        <v>240</v>
      </c>
      <c r="M10">
        <v>20.258419999999997</v>
      </c>
      <c r="N10">
        <v>219</v>
      </c>
      <c r="O10">
        <v>8.9069707999999999</v>
      </c>
      <c r="P10" s="3">
        <f t="shared" si="0"/>
        <v>63440.436077199993</v>
      </c>
    </row>
    <row r="11" spans="1:19" x14ac:dyDescent="0.2">
      <c r="A11">
        <v>60000</v>
      </c>
      <c r="B11">
        <v>8</v>
      </c>
      <c r="C11">
        <v>956.36743999999987</v>
      </c>
      <c r="D11">
        <v>13</v>
      </c>
      <c r="E11">
        <v>820.4996799999999</v>
      </c>
      <c r="F11">
        <v>37</v>
      </c>
      <c r="G11">
        <v>314.55591999999996</v>
      </c>
      <c r="H11">
        <v>100</v>
      </c>
      <c r="I11">
        <v>115.84316799999999</v>
      </c>
      <c r="J11">
        <v>172</v>
      </c>
      <c r="K11">
        <v>46.909464</v>
      </c>
      <c r="L11">
        <v>191</v>
      </c>
      <c r="M11">
        <v>20.258419999999997</v>
      </c>
      <c r="N11">
        <v>184</v>
      </c>
      <c r="O11">
        <v>8.9069707999999999</v>
      </c>
      <c r="P11" s="3">
        <f t="shared" si="0"/>
        <v>55116.989855200001</v>
      </c>
    </row>
    <row r="12" spans="1:19" x14ac:dyDescent="0.2">
      <c r="A12">
        <v>70000</v>
      </c>
      <c r="B12">
        <v>4</v>
      </c>
      <c r="C12">
        <v>956.36743999999987</v>
      </c>
      <c r="D12">
        <v>9</v>
      </c>
      <c r="E12">
        <v>820.4996799999999</v>
      </c>
      <c r="F12">
        <v>30</v>
      </c>
      <c r="G12">
        <v>314.55591999999996</v>
      </c>
      <c r="H12">
        <v>68</v>
      </c>
      <c r="I12">
        <v>115.84316799999999</v>
      </c>
      <c r="J12">
        <v>163</v>
      </c>
      <c r="K12">
        <v>46.909464</v>
      </c>
      <c r="L12">
        <v>181</v>
      </c>
      <c r="M12">
        <v>20.258419999999997</v>
      </c>
      <c r="N12">
        <v>137</v>
      </c>
      <c r="O12">
        <v>8.9069707999999999</v>
      </c>
      <c r="P12" s="3">
        <f t="shared" si="0"/>
        <v>41057.251555599993</v>
      </c>
      <c r="Q12" s="3">
        <f t="shared" ref="Q12:Q22" si="1">Q13+P12</f>
        <v>228748.37195279999</v>
      </c>
      <c r="R12">
        <v>4381325</v>
      </c>
      <c r="S12" s="21">
        <f t="shared" ref="S12:S23" si="2">(Q12/R12)*100</f>
        <v>5.220986161784392</v>
      </c>
    </row>
    <row r="13" spans="1:19" x14ac:dyDescent="0.2">
      <c r="A13">
        <v>80000</v>
      </c>
      <c r="B13">
        <v>4</v>
      </c>
      <c r="C13">
        <v>956.36743999999987</v>
      </c>
      <c r="D13">
        <v>7</v>
      </c>
      <c r="E13">
        <v>820.4996799999999</v>
      </c>
      <c r="F13">
        <v>21</v>
      </c>
      <c r="G13">
        <v>314.55591999999996</v>
      </c>
      <c r="H13">
        <v>58</v>
      </c>
      <c r="I13">
        <v>115.84316799999999</v>
      </c>
      <c r="J13">
        <v>136</v>
      </c>
      <c r="K13">
        <v>46.909464</v>
      </c>
      <c r="L13">
        <v>163</v>
      </c>
      <c r="M13">
        <v>20.258419999999997</v>
      </c>
      <c r="N13">
        <v>106</v>
      </c>
      <c r="O13">
        <v>8.9069707999999999</v>
      </c>
      <c r="P13" s="3">
        <f t="shared" si="0"/>
        <v>33519.494052799993</v>
      </c>
      <c r="Q13" s="3">
        <f t="shared" si="1"/>
        <v>187691.12039719999</v>
      </c>
      <c r="R13">
        <v>4381325</v>
      </c>
      <c r="S13" s="21">
        <f t="shared" si="2"/>
        <v>4.2838894717283011</v>
      </c>
    </row>
    <row r="14" spans="1:19" x14ac:dyDescent="0.2">
      <c r="A14">
        <v>90000</v>
      </c>
      <c r="B14">
        <v>2</v>
      </c>
      <c r="C14">
        <v>956.36743999999987</v>
      </c>
      <c r="D14">
        <v>5</v>
      </c>
      <c r="E14">
        <v>820.4996799999999</v>
      </c>
      <c r="F14">
        <v>13</v>
      </c>
      <c r="G14">
        <v>314.55591999999996</v>
      </c>
      <c r="H14">
        <v>41</v>
      </c>
      <c r="I14">
        <v>115.84316799999999</v>
      </c>
      <c r="J14">
        <v>115</v>
      </c>
      <c r="K14">
        <v>46.909464</v>
      </c>
      <c r="L14">
        <v>106</v>
      </c>
      <c r="M14">
        <v>20.258419999999997</v>
      </c>
      <c r="N14">
        <v>86</v>
      </c>
      <c r="O14">
        <v>8.9069707999999999</v>
      </c>
      <c r="P14" s="3">
        <f t="shared" si="0"/>
        <v>23162.010496800001</v>
      </c>
      <c r="Q14" s="3">
        <f t="shared" si="1"/>
        <v>154171.62634439999</v>
      </c>
      <c r="R14">
        <v>4381325</v>
      </c>
      <c r="S14" s="21">
        <f t="shared" si="2"/>
        <v>3.5188356568937476</v>
      </c>
    </row>
    <row r="15" spans="1:19" x14ac:dyDescent="0.2">
      <c r="A15">
        <v>100000</v>
      </c>
      <c r="B15">
        <v>2</v>
      </c>
      <c r="C15">
        <v>956.36743999999987</v>
      </c>
      <c r="D15">
        <v>8</v>
      </c>
      <c r="E15">
        <v>820.4996799999999</v>
      </c>
      <c r="F15">
        <v>16</v>
      </c>
      <c r="G15">
        <v>314.55591999999996</v>
      </c>
      <c r="H15">
        <v>72</v>
      </c>
      <c r="I15">
        <v>115.84316799999999</v>
      </c>
      <c r="J15">
        <v>161</v>
      </c>
      <c r="K15">
        <v>46.909464</v>
      </c>
      <c r="L15">
        <v>160</v>
      </c>
      <c r="M15">
        <v>20.258419999999997</v>
      </c>
      <c r="N15">
        <v>145</v>
      </c>
      <c r="O15">
        <v>8.9069707999999999</v>
      </c>
      <c r="P15" s="3">
        <f t="shared" si="0"/>
        <v>33935.616805999998</v>
      </c>
      <c r="Q15" s="3">
        <f t="shared" si="1"/>
        <v>131009.61584759998</v>
      </c>
      <c r="R15">
        <v>4381325</v>
      </c>
      <c r="S15" s="21">
        <f t="shared" si="2"/>
        <v>2.9901825554506911</v>
      </c>
    </row>
    <row r="16" spans="1:19" x14ac:dyDescent="0.2">
      <c r="A16">
        <v>120000</v>
      </c>
      <c r="B16">
        <v>1</v>
      </c>
      <c r="C16">
        <v>956.36743999999987</v>
      </c>
      <c r="D16">
        <v>3</v>
      </c>
      <c r="E16">
        <v>820.4996799999999</v>
      </c>
      <c r="F16">
        <v>19</v>
      </c>
      <c r="G16">
        <v>314.55591999999996</v>
      </c>
      <c r="H16">
        <v>55</v>
      </c>
      <c r="I16">
        <v>115.84316799999999</v>
      </c>
      <c r="J16">
        <v>150</v>
      </c>
      <c r="K16">
        <v>46.909464</v>
      </c>
      <c r="L16">
        <v>139</v>
      </c>
      <c r="M16">
        <v>20.258419999999997</v>
      </c>
      <c r="N16">
        <v>105</v>
      </c>
      <c r="O16">
        <v>8.9069707999999999</v>
      </c>
      <c r="P16" s="3">
        <f t="shared" si="0"/>
        <v>26553.375113999999</v>
      </c>
      <c r="Q16" s="3">
        <f t="shared" si="1"/>
        <v>97073.999041599993</v>
      </c>
      <c r="R16">
        <v>4381325</v>
      </c>
      <c r="S16" s="21">
        <f t="shared" si="2"/>
        <v>2.2156310942831219</v>
      </c>
    </row>
    <row r="17" spans="1:19" x14ac:dyDescent="0.2">
      <c r="A17">
        <v>140000</v>
      </c>
      <c r="B17">
        <v>2</v>
      </c>
      <c r="C17">
        <v>956.36743999999987</v>
      </c>
      <c r="D17">
        <v>3</v>
      </c>
      <c r="E17">
        <v>820.4996799999999</v>
      </c>
      <c r="F17">
        <v>13</v>
      </c>
      <c r="G17">
        <v>314.55591999999996</v>
      </c>
      <c r="H17">
        <v>40</v>
      </c>
      <c r="I17">
        <v>115.84316799999999</v>
      </c>
      <c r="J17">
        <v>84</v>
      </c>
      <c r="K17">
        <v>46.909464</v>
      </c>
      <c r="L17">
        <v>100</v>
      </c>
      <c r="M17">
        <v>20.258419999999997</v>
      </c>
      <c r="N17">
        <v>58</v>
      </c>
      <c r="O17">
        <v>8.9069707999999999</v>
      </c>
      <c r="P17" s="3">
        <f t="shared" si="0"/>
        <v>19580.028882399998</v>
      </c>
      <c r="Q17" s="3">
        <f t="shared" si="1"/>
        <v>70520.623927599998</v>
      </c>
      <c r="R17">
        <v>4381325</v>
      </c>
      <c r="S17" s="24">
        <f t="shared" si="2"/>
        <v>1.6095729928183824</v>
      </c>
    </row>
    <row r="18" spans="1:19" x14ac:dyDescent="0.2">
      <c r="A18">
        <v>160000</v>
      </c>
      <c r="B18">
        <v>0</v>
      </c>
      <c r="C18">
        <v>956.36743999999987</v>
      </c>
      <c r="D18">
        <v>1</v>
      </c>
      <c r="E18">
        <v>820.4996799999999</v>
      </c>
      <c r="F18">
        <v>7</v>
      </c>
      <c r="G18">
        <v>314.55591999999996</v>
      </c>
      <c r="H18">
        <v>18</v>
      </c>
      <c r="I18">
        <v>115.84316799999999</v>
      </c>
      <c r="J18">
        <v>71</v>
      </c>
      <c r="K18">
        <v>46.909464</v>
      </c>
      <c r="L18">
        <v>55</v>
      </c>
      <c r="M18">
        <v>20.258419999999997</v>
      </c>
      <c r="N18">
        <v>42</v>
      </c>
      <c r="O18">
        <v>8.9069707999999999</v>
      </c>
      <c r="P18" s="3">
        <f t="shared" si="0"/>
        <v>9926.4459615999967</v>
      </c>
      <c r="Q18" s="3">
        <f t="shared" si="1"/>
        <v>50940.595045199996</v>
      </c>
      <c r="R18">
        <v>4381325</v>
      </c>
      <c r="S18" s="21">
        <f t="shared" si="2"/>
        <v>1.1626755615070783</v>
      </c>
    </row>
    <row r="19" spans="1:19" x14ac:dyDescent="0.2">
      <c r="A19">
        <v>180000</v>
      </c>
      <c r="B19">
        <v>0</v>
      </c>
      <c r="C19">
        <v>956.36743999999987</v>
      </c>
      <c r="D19">
        <v>0</v>
      </c>
      <c r="E19">
        <v>820.4996799999999</v>
      </c>
      <c r="F19">
        <v>5</v>
      </c>
      <c r="G19">
        <v>314.55591999999996</v>
      </c>
      <c r="H19">
        <v>16</v>
      </c>
      <c r="I19">
        <v>115.84316799999999</v>
      </c>
      <c r="J19">
        <v>36</v>
      </c>
      <c r="K19">
        <v>46.909464</v>
      </c>
      <c r="L19">
        <v>38</v>
      </c>
      <c r="M19">
        <v>20.258419999999997</v>
      </c>
      <c r="N19">
        <v>32</v>
      </c>
      <c r="O19">
        <v>8.9069707999999999</v>
      </c>
      <c r="P19" s="3">
        <f t="shared" si="0"/>
        <v>6169.8540175999997</v>
      </c>
      <c r="Q19" s="3">
        <f t="shared" si="1"/>
        <v>41014.149083600001</v>
      </c>
      <c r="R19">
        <v>4381325</v>
      </c>
      <c r="S19" s="21">
        <f t="shared" si="2"/>
        <v>0.93611291295669696</v>
      </c>
    </row>
    <row r="20" spans="1:19" x14ac:dyDescent="0.2">
      <c r="A20">
        <v>200000</v>
      </c>
      <c r="B20">
        <v>1</v>
      </c>
      <c r="C20">
        <v>956.36743999999987</v>
      </c>
      <c r="D20">
        <v>3</v>
      </c>
      <c r="E20">
        <v>820.4996799999999</v>
      </c>
      <c r="F20">
        <v>12</v>
      </c>
      <c r="G20">
        <v>314.55591999999996</v>
      </c>
      <c r="H20">
        <v>52</v>
      </c>
      <c r="I20">
        <v>115.84316799999999</v>
      </c>
      <c r="J20">
        <v>98</v>
      </c>
      <c r="K20">
        <v>46.909464</v>
      </c>
      <c r="L20">
        <v>145</v>
      </c>
      <c r="M20">
        <v>20.258419999999997</v>
      </c>
      <c r="N20">
        <v>107</v>
      </c>
      <c r="O20">
        <v>8.9069707999999999</v>
      </c>
      <c r="P20" s="3">
        <f t="shared" si="0"/>
        <v>21704.026503599998</v>
      </c>
      <c r="Q20" s="3">
        <f t="shared" si="1"/>
        <v>34844.295065999999</v>
      </c>
      <c r="R20">
        <v>4381325</v>
      </c>
      <c r="S20" s="21">
        <f t="shared" si="2"/>
        <v>0.79529126613524448</v>
      </c>
    </row>
    <row r="21" spans="1:19" x14ac:dyDescent="0.2">
      <c r="A21">
        <v>350000</v>
      </c>
      <c r="B21">
        <v>0</v>
      </c>
      <c r="C21">
        <v>956.36743999999987</v>
      </c>
      <c r="D21">
        <v>2</v>
      </c>
      <c r="E21">
        <v>820.4996799999999</v>
      </c>
      <c r="F21">
        <v>7</v>
      </c>
      <c r="G21">
        <v>314.55591999999996</v>
      </c>
      <c r="H21">
        <v>8</v>
      </c>
      <c r="I21">
        <v>115.84316799999999</v>
      </c>
      <c r="J21">
        <v>27</v>
      </c>
      <c r="K21">
        <v>46.909464</v>
      </c>
      <c r="L21">
        <v>36</v>
      </c>
      <c r="M21">
        <v>20.258419999999997</v>
      </c>
      <c r="N21">
        <v>28</v>
      </c>
      <c r="O21">
        <v>8.9069707999999999</v>
      </c>
      <c r="P21" s="3">
        <f t="shared" si="0"/>
        <v>7014.8899743999991</v>
      </c>
      <c r="Q21" s="3">
        <f t="shared" si="1"/>
        <v>13140.268562399999</v>
      </c>
      <c r="R21">
        <v>4381325</v>
      </c>
      <c r="S21" s="21">
        <f t="shared" si="2"/>
        <v>0.29991540372832415</v>
      </c>
    </row>
    <row r="22" spans="1:19" x14ac:dyDescent="0.2">
      <c r="A22">
        <v>500000</v>
      </c>
      <c r="B22">
        <v>1</v>
      </c>
      <c r="C22">
        <v>956.36743999999987</v>
      </c>
      <c r="D22">
        <v>2</v>
      </c>
      <c r="E22">
        <v>820.4996799999999</v>
      </c>
      <c r="F22">
        <v>2</v>
      </c>
      <c r="G22">
        <v>314.55591999999996</v>
      </c>
      <c r="H22">
        <v>6</v>
      </c>
      <c r="I22">
        <v>115.84316799999999</v>
      </c>
      <c r="J22">
        <v>16</v>
      </c>
      <c r="K22">
        <v>46.909464</v>
      </c>
      <c r="L22">
        <v>16</v>
      </c>
      <c r="M22">
        <v>20.258419999999997</v>
      </c>
      <c r="N22">
        <v>17</v>
      </c>
      <c r="O22">
        <v>8.9069707999999999</v>
      </c>
      <c r="P22" s="3">
        <f t="shared" si="0"/>
        <v>5147.6422955999997</v>
      </c>
      <c r="Q22" s="3">
        <f t="shared" si="1"/>
        <v>6125.3785879999996</v>
      </c>
      <c r="R22">
        <v>4381325</v>
      </c>
      <c r="S22" s="21">
        <f t="shared" si="2"/>
        <v>0.13980653313780647</v>
      </c>
    </row>
    <row r="23" spans="1:19" x14ac:dyDescent="0.2">
      <c r="A23" t="s">
        <v>12</v>
      </c>
      <c r="B23">
        <v>0</v>
      </c>
      <c r="C23">
        <v>956.36743999999987</v>
      </c>
      <c r="D23">
        <v>0</v>
      </c>
      <c r="E23">
        <v>820.4996799999999</v>
      </c>
      <c r="F23">
        <v>1</v>
      </c>
      <c r="G23">
        <v>314.55591999999996</v>
      </c>
      <c r="H23">
        <v>3</v>
      </c>
      <c r="I23">
        <v>115.84316799999999</v>
      </c>
      <c r="J23">
        <v>4</v>
      </c>
      <c r="K23">
        <v>46.909464</v>
      </c>
      <c r="L23">
        <v>5</v>
      </c>
      <c r="M23">
        <v>20.258419999999997</v>
      </c>
      <c r="N23">
        <v>3</v>
      </c>
      <c r="O23">
        <v>8.9069707999999999</v>
      </c>
      <c r="P23" s="3">
        <f t="shared" si="0"/>
        <v>977.73629239999991</v>
      </c>
      <c r="Q23" s="3">
        <f>P23</f>
        <v>977.73629239999991</v>
      </c>
      <c r="R23">
        <v>4381325</v>
      </c>
      <c r="S23" s="21">
        <f t="shared" si="2"/>
        <v>2.2315995558421252E-2</v>
      </c>
    </row>
    <row r="24" spans="1:19" x14ac:dyDescent="0.2">
      <c r="A24" t="s">
        <v>3</v>
      </c>
      <c r="B24">
        <f t="shared" ref="B24:N24" si="3">SUM(B6:B23)</f>
        <v>175</v>
      </c>
      <c r="C24">
        <v>956.36743999999987</v>
      </c>
      <c r="D24">
        <f t="shared" si="3"/>
        <v>121</v>
      </c>
      <c r="E24">
        <v>820.4996799999999</v>
      </c>
      <c r="F24">
        <f t="shared" si="3"/>
        <v>351</v>
      </c>
      <c r="G24">
        <v>314.55591999999996</v>
      </c>
      <c r="H24">
        <f t="shared" si="3"/>
        <v>930</v>
      </c>
      <c r="I24">
        <v>115.84316799999999</v>
      </c>
      <c r="J24">
        <f t="shared" si="3"/>
        <v>1977</v>
      </c>
      <c r="K24">
        <v>46.909464</v>
      </c>
      <c r="L24">
        <f t="shared" si="3"/>
        <v>2214</v>
      </c>
      <c r="M24">
        <v>20.258419999999997</v>
      </c>
      <c r="N24">
        <f t="shared" si="3"/>
        <v>1850</v>
      </c>
      <c r="O24">
        <v>8.9069707999999999</v>
      </c>
      <c r="P24" s="3">
        <f t="shared" si="0"/>
        <v>638858.08562799997</v>
      </c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83</v>
      </c>
      <c r="B32" s="14">
        <v>5.0000000000000001E-4</v>
      </c>
      <c r="C32" s="4">
        <f>S23/100</f>
        <v>2.2315995558421252E-4</v>
      </c>
      <c r="D32">
        <f>S22/100</f>
        <v>1.3980653313780647E-3</v>
      </c>
      <c r="E32">
        <v>1000000</v>
      </c>
      <c r="F32">
        <v>500000</v>
      </c>
      <c r="G32">
        <f t="shared" ref="G32:G37" si="4">D32/C32</f>
        <v>6.2648575445270032</v>
      </c>
      <c r="H32">
        <f t="shared" ref="H32:H37" si="5">LN(G32)</f>
        <v>1.8349558497857621</v>
      </c>
      <c r="I32">
        <f t="shared" ref="I32:I37" si="6">E32/F32</f>
        <v>2</v>
      </c>
      <c r="J32">
        <f t="shared" ref="J32:J37" si="7">LN(I32)</f>
        <v>0.69314718055994529</v>
      </c>
      <c r="K32" s="4">
        <f t="shared" ref="K32:K37" si="8">H32/J32</f>
        <v>2.6472817047361126</v>
      </c>
      <c r="L32" s="4">
        <f t="shared" ref="L32:L37" si="9">F32*POWER(D32,1/K32)</f>
        <v>41754.616898071872</v>
      </c>
      <c r="M32" s="20">
        <f t="shared" ref="M32:M37" si="10">POWER(B32,1/K32)</f>
        <v>5.6630346194276295E-2</v>
      </c>
      <c r="N32" s="8">
        <f t="shared" ref="N32:N37" si="11">L32/M32</f>
        <v>737318.76465717365</v>
      </c>
      <c r="O32" s="5">
        <v>4381325</v>
      </c>
      <c r="P32" s="8">
        <f>O32*(K32/(1-K32))*POWER(L32,K32)*(-1)*POWER(N32,1-K32)</f>
        <v>2595751083.8022652</v>
      </c>
      <c r="Q32" s="9">
        <f t="shared" ref="Q32:Q37" si="12">B32*O32</f>
        <v>2190.6624999999999</v>
      </c>
      <c r="R32" s="8">
        <f t="shared" ref="R32:R37" si="13">P32/Q32</f>
        <v>1184916.0168680777</v>
      </c>
      <c r="S32" s="4">
        <f t="shared" ref="S32:S37" si="14">P32*4.753*1.23</f>
        <v>15175254028.613964</v>
      </c>
    </row>
    <row r="33" spans="1:19" x14ac:dyDescent="0.2">
      <c r="A33" t="s">
        <v>83</v>
      </c>
      <c r="B33" s="14">
        <v>1E-3</v>
      </c>
      <c r="C33" s="4">
        <f>S23/100</f>
        <v>2.2315995558421252E-4</v>
      </c>
      <c r="D33">
        <f>S22/100</f>
        <v>1.3980653313780647E-3</v>
      </c>
      <c r="E33">
        <v>1000000</v>
      </c>
      <c r="F33">
        <v>500000</v>
      </c>
      <c r="G33">
        <f t="shared" si="4"/>
        <v>6.2648575445270032</v>
      </c>
      <c r="H33">
        <f t="shared" si="5"/>
        <v>1.8349558497857621</v>
      </c>
      <c r="I33">
        <f t="shared" si="6"/>
        <v>2</v>
      </c>
      <c r="J33">
        <f t="shared" si="7"/>
        <v>0.69314718055994529</v>
      </c>
      <c r="K33" s="4">
        <f t="shared" si="8"/>
        <v>2.6472817047361126</v>
      </c>
      <c r="L33" s="4">
        <f t="shared" si="9"/>
        <v>41754.616898071872</v>
      </c>
      <c r="M33" s="20">
        <f t="shared" si="10"/>
        <v>7.3580389899223192E-2</v>
      </c>
      <c r="N33" s="8">
        <f t="shared" si="11"/>
        <v>567469.36181310844</v>
      </c>
      <c r="O33" s="5">
        <v>4381325</v>
      </c>
      <c r="P33" s="8">
        <f>O33*(K33/(1-K33))*POWER(L33,K33)*(POWER(N32,1-K33)-POWER(N33,1-K33))+P32</f>
        <v>3995583135.9747105</v>
      </c>
      <c r="Q33" s="9">
        <f t="shared" si="12"/>
        <v>4381.3249999999998</v>
      </c>
      <c r="R33" s="8">
        <f t="shared" si="13"/>
        <v>911957.7150690055</v>
      </c>
      <c r="S33" s="4">
        <f t="shared" si="14"/>
        <v>23358938173.703995</v>
      </c>
    </row>
    <row r="34" spans="1:19" x14ac:dyDescent="0.2">
      <c r="A34" t="s">
        <v>75</v>
      </c>
      <c r="B34" s="14">
        <v>2.5000000000000001E-3</v>
      </c>
      <c r="C34">
        <f>S22/100</f>
        <v>1.3980653313780647E-3</v>
      </c>
      <c r="D34">
        <f>S21/100</f>
        <v>2.9991540372832416E-3</v>
      </c>
      <c r="E34">
        <v>500000</v>
      </c>
      <c r="F34">
        <v>350000</v>
      </c>
      <c r="G34">
        <f t="shared" si="4"/>
        <v>2.145217372872692</v>
      </c>
      <c r="H34">
        <f t="shared" si="5"/>
        <v>0.76324088658008515</v>
      </c>
      <c r="I34">
        <f t="shared" si="6"/>
        <v>1.4285714285714286</v>
      </c>
      <c r="J34">
        <f t="shared" si="7"/>
        <v>0.35667494393873239</v>
      </c>
      <c r="K34" s="4">
        <f t="shared" si="8"/>
        <v>2.1398780585809538</v>
      </c>
      <c r="L34" s="4">
        <f t="shared" si="9"/>
        <v>23175.457906574356</v>
      </c>
      <c r="M34" s="20">
        <f t="shared" si="10"/>
        <v>6.0815576358021178E-2</v>
      </c>
      <c r="N34" s="8">
        <f t="shared" si="11"/>
        <v>381077.66619098507</v>
      </c>
      <c r="O34" s="5">
        <v>4381325</v>
      </c>
      <c r="P34" s="8">
        <f>O34*(K34/(1-K34))*POWER(L34,K34)*(POWER(N33,1-K34)-POWER(N34,1-K34))+P33</f>
        <v>6854449374.111021</v>
      </c>
      <c r="Q34" s="9">
        <f t="shared" si="12"/>
        <v>10953.3125</v>
      </c>
      <c r="R34" s="8">
        <f t="shared" si="13"/>
        <v>625787.80383660388</v>
      </c>
      <c r="S34" s="4">
        <f t="shared" si="14"/>
        <v>40072413386.434113</v>
      </c>
    </row>
    <row r="35" spans="1:19" x14ac:dyDescent="0.2">
      <c r="A35" t="s">
        <v>76</v>
      </c>
      <c r="B35" s="14">
        <v>5.0000000000000001E-3</v>
      </c>
      <c r="C35">
        <f>S21/100</f>
        <v>2.9991540372832416E-3</v>
      </c>
      <c r="D35">
        <f>S20/100</f>
        <v>7.9529126613524445E-3</v>
      </c>
      <c r="E35">
        <v>350000</v>
      </c>
      <c r="F35">
        <v>200000</v>
      </c>
      <c r="G35">
        <f t="shared" si="4"/>
        <v>2.6517186388187395</v>
      </c>
      <c r="H35">
        <f t="shared" si="5"/>
        <v>0.97520797273550253</v>
      </c>
      <c r="I35">
        <f t="shared" si="6"/>
        <v>1.75</v>
      </c>
      <c r="J35">
        <f t="shared" si="7"/>
        <v>0.55961578793542266</v>
      </c>
      <c r="K35" s="4">
        <f t="shared" si="8"/>
        <v>1.7426384204300496</v>
      </c>
      <c r="L35" s="4">
        <f t="shared" si="9"/>
        <v>12481.382549794507</v>
      </c>
      <c r="M35" s="20">
        <f t="shared" si="10"/>
        <v>4.781577272534817E-2</v>
      </c>
      <c r="N35" s="8">
        <f t="shared" si="11"/>
        <v>261030.65658871716</v>
      </c>
      <c r="O35" s="5">
        <v>4381325</v>
      </c>
      <c r="P35" s="8">
        <f>O35*(K35/(1-K35))*POWER(L35,K35)*(POWER(N34,1-K35)-POWER(N35,1-K35))+P34</f>
        <v>10141432766.040276</v>
      </c>
      <c r="Q35" s="9">
        <f t="shared" si="12"/>
        <v>21906.625</v>
      </c>
      <c r="R35" s="8">
        <f t="shared" si="13"/>
        <v>462939.07738139835</v>
      </c>
      <c r="S35" s="4">
        <f t="shared" si="14"/>
        <v>59288742822.497002</v>
      </c>
    </row>
    <row r="36" spans="1:19" x14ac:dyDescent="0.2">
      <c r="A36" t="s">
        <v>77</v>
      </c>
      <c r="B36" s="14">
        <v>0.01</v>
      </c>
      <c r="C36">
        <f>S19/100</f>
        <v>9.3611291295669693E-3</v>
      </c>
      <c r="D36">
        <f>S18/100</f>
        <v>1.1626755615070783E-2</v>
      </c>
      <c r="E36">
        <v>180000</v>
      </c>
      <c r="F36">
        <v>160000</v>
      </c>
      <c r="G36">
        <f t="shared" si="4"/>
        <v>1.242024915386315</v>
      </c>
      <c r="H36">
        <f t="shared" si="5"/>
        <v>0.21674304400759001</v>
      </c>
      <c r="I36">
        <f t="shared" si="6"/>
        <v>1.125</v>
      </c>
      <c r="J36">
        <f t="shared" si="7"/>
        <v>0.11778303565638346</v>
      </c>
      <c r="K36" s="4">
        <f t="shared" si="8"/>
        <v>1.8401889779773497</v>
      </c>
      <c r="L36" s="4">
        <f t="shared" si="9"/>
        <v>14218.269050110532</v>
      </c>
      <c r="M36" s="20">
        <f t="shared" si="10"/>
        <v>8.1875714533290386E-2</v>
      </c>
      <c r="N36" s="8">
        <f t="shared" si="11"/>
        <v>173656.73241641675</v>
      </c>
      <c r="O36" s="5">
        <v>4381325</v>
      </c>
      <c r="P36" s="8">
        <f>O36*(K36/(1-K36))*POWER(L36,K36)*(POWER(N35,1-K36)-POWER(N36,1-K36))+P35</f>
        <v>14973258457.363186</v>
      </c>
      <c r="Q36" s="9">
        <f t="shared" si="12"/>
        <v>43813.25</v>
      </c>
      <c r="R36" s="8">
        <f t="shared" si="13"/>
        <v>341751.83209104976</v>
      </c>
      <c r="S36" s="4">
        <f t="shared" si="14"/>
        <v>87536513860.852097</v>
      </c>
    </row>
    <row r="37" spans="1:19" x14ac:dyDescent="0.2">
      <c r="A37" t="s">
        <v>73</v>
      </c>
      <c r="B37" s="14">
        <v>0.02</v>
      </c>
      <c r="C37">
        <f>S17/100</f>
        <v>1.6095729928183825E-2</v>
      </c>
      <c r="D37">
        <f>S16/100</f>
        <v>2.2156310942831218E-2</v>
      </c>
      <c r="E37">
        <v>140000</v>
      </c>
      <c r="F37">
        <v>120000</v>
      </c>
      <c r="G37">
        <f t="shared" si="4"/>
        <v>1.3765334682980261</v>
      </c>
      <c r="H37">
        <f t="shared" si="5"/>
        <v>0.31956835936090106</v>
      </c>
      <c r="I37">
        <f t="shared" si="6"/>
        <v>1.1666666666666667</v>
      </c>
      <c r="J37">
        <f t="shared" si="7"/>
        <v>0.15415067982725836</v>
      </c>
      <c r="K37" s="4">
        <f t="shared" si="8"/>
        <v>2.0730908207411747</v>
      </c>
      <c r="L37" s="4">
        <f t="shared" si="9"/>
        <v>19102.768521892252</v>
      </c>
      <c r="M37" s="20">
        <f t="shared" si="10"/>
        <v>0.15151834997038735</v>
      </c>
      <c r="N37" s="8">
        <f t="shared" si="11"/>
        <v>126075.61081298527</v>
      </c>
      <c r="O37" s="5">
        <f>R17</f>
        <v>4381325</v>
      </c>
      <c r="P37" s="8">
        <f>O37*(K37/(1-K37))*POWER(L37,K37)*(POWER(N36,1-K37)-POWER(N37,1-K37))+P36</f>
        <v>21179469021.650253</v>
      </c>
      <c r="Q37" s="9">
        <f t="shared" si="12"/>
        <v>87626.5</v>
      </c>
      <c r="R37" s="8">
        <f t="shared" si="13"/>
        <v>241701.64301495842</v>
      </c>
      <c r="S37" s="4">
        <f t="shared" si="14"/>
        <v>123819199999.68149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14</v>
      </c>
      <c r="B50">
        <v>0</v>
      </c>
      <c r="C50">
        <v>2770.2149999999997</v>
      </c>
      <c r="D50">
        <v>0</v>
      </c>
      <c r="E50">
        <v>1406.664</v>
      </c>
      <c r="F50">
        <v>2</v>
      </c>
      <c r="G50">
        <v>550.31171999999992</v>
      </c>
      <c r="H50">
        <v>4</v>
      </c>
      <c r="I50">
        <v>227.98075999999998</v>
      </c>
      <c r="J50">
        <v>3</v>
      </c>
      <c r="K50">
        <f>67.0677*1.4</f>
        <v>93.894779999999997</v>
      </c>
      <c r="L50">
        <v>6</v>
      </c>
      <c r="M50">
        <f>25.15906*1.4</f>
        <v>35.222684000000001</v>
      </c>
      <c r="N50">
        <v>4</v>
      </c>
      <c r="O50">
        <v>11.231372599999998</v>
      </c>
      <c r="P50" s="3">
        <f>(B50*C50)+(D50*E50)+(F50*G50)+(H50*I50)+(J50*K50)+(L50*M50)+(N50*O50)</f>
        <v>2550.4924143999997</v>
      </c>
      <c r="Q50" s="3"/>
    </row>
    <row r="51" spans="1:19" x14ac:dyDescent="0.2">
      <c r="A51">
        <v>20000</v>
      </c>
      <c r="B51">
        <v>4</v>
      </c>
      <c r="C51">
        <v>2770.2149999999997</v>
      </c>
      <c r="D51">
        <v>2</v>
      </c>
      <c r="E51">
        <v>1406.664</v>
      </c>
      <c r="F51">
        <v>14</v>
      </c>
      <c r="G51">
        <v>550.31171999999992</v>
      </c>
      <c r="H51">
        <v>41</v>
      </c>
      <c r="I51">
        <v>227.98075999999998</v>
      </c>
      <c r="J51">
        <v>134</v>
      </c>
      <c r="K51">
        <f>67.0677*1.4</f>
        <v>93.894779999999997</v>
      </c>
      <c r="L51">
        <v>325</v>
      </c>
      <c r="M51">
        <f t="shared" ref="M51:M68" si="15">25.15906*1.4</f>
        <v>35.222684000000001</v>
      </c>
      <c r="N51">
        <v>359</v>
      </c>
      <c r="O51">
        <v>11.231372599999998</v>
      </c>
      <c r="P51" s="3">
        <f t="shared" ref="P51:P68" si="16">(B51*C51)+(D51*E51)+(F51*G51)+(H51*I51)+(J51*K51)+(L51*M51)+(N51*O51)</f>
        <v>59007.098823399996</v>
      </c>
      <c r="Q51" s="3"/>
    </row>
    <row r="52" spans="1:19" x14ac:dyDescent="0.2">
      <c r="A52">
        <v>30000</v>
      </c>
      <c r="B52">
        <v>1</v>
      </c>
      <c r="C52">
        <v>2770.2149999999997</v>
      </c>
      <c r="D52">
        <v>2</v>
      </c>
      <c r="E52">
        <v>1406.664</v>
      </c>
      <c r="F52">
        <v>10</v>
      </c>
      <c r="G52">
        <v>550.31171999999992</v>
      </c>
      <c r="H52">
        <v>49</v>
      </c>
      <c r="I52">
        <v>227.98075999999998</v>
      </c>
      <c r="J52">
        <v>123</v>
      </c>
      <c r="K52">
        <f t="shared" ref="K52:K68" si="17">67.0677*1.4</f>
        <v>93.894779999999997</v>
      </c>
      <c r="L52">
        <v>269</v>
      </c>
      <c r="M52">
        <f t="shared" si="15"/>
        <v>35.222684000000001</v>
      </c>
      <c r="N52">
        <v>314</v>
      </c>
      <c r="O52">
        <v>11.231372599999998</v>
      </c>
      <c r="P52" s="3">
        <f t="shared" si="16"/>
        <v>46808.328372399992</v>
      </c>
      <c r="Q52" s="3">
        <f>Q53+P52</f>
        <v>324612.97227519995</v>
      </c>
      <c r="R52">
        <v>4458336</v>
      </c>
      <c r="S52">
        <f>Q52/R52*100</f>
        <v>7.2810342754606197</v>
      </c>
    </row>
    <row r="53" spans="1:19" x14ac:dyDescent="0.2">
      <c r="A53">
        <v>40000</v>
      </c>
      <c r="B53">
        <v>3</v>
      </c>
      <c r="C53">
        <v>2770.2149999999997</v>
      </c>
      <c r="D53">
        <v>7</v>
      </c>
      <c r="E53">
        <v>1406.664</v>
      </c>
      <c r="F53">
        <v>15</v>
      </c>
      <c r="G53">
        <v>550.31171999999992</v>
      </c>
      <c r="H53">
        <v>52</v>
      </c>
      <c r="I53">
        <v>227.98075999999998</v>
      </c>
      <c r="J53">
        <v>147</v>
      </c>
      <c r="K53">
        <f t="shared" si="17"/>
        <v>93.894779999999997</v>
      </c>
      <c r="L53">
        <v>257</v>
      </c>
      <c r="M53">
        <f t="shared" si="15"/>
        <v>35.222684000000001</v>
      </c>
      <c r="N53">
        <v>352</v>
      </c>
      <c r="O53">
        <v>11.231372599999998</v>
      </c>
      <c r="P53" s="3">
        <f t="shared" si="16"/>
        <v>65075.173923199996</v>
      </c>
      <c r="Q53" s="3">
        <f t="shared" ref="Q53:Q62" si="18">Q54+P53</f>
        <v>277804.64390279999</v>
      </c>
      <c r="R53">
        <v>4458336</v>
      </c>
      <c r="S53">
        <f>Q53/R53*100</f>
        <v>6.2311284726588569</v>
      </c>
    </row>
    <row r="54" spans="1:19" x14ac:dyDescent="0.2">
      <c r="A54">
        <v>50000</v>
      </c>
      <c r="B54">
        <v>4</v>
      </c>
      <c r="C54">
        <v>2770.2149999999997</v>
      </c>
      <c r="D54">
        <v>6</v>
      </c>
      <c r="E54">
        <v>1406.664</v>
      </c>
      <c r="F54">
        <v>21</v>
      </c>
      <c r="G54">
        <v>550.31171999999992</v>
      </c>
      <c r="H54">
        <v>44</v>
      </c>
      <c r="I54">
        <v>227.98075999999998</v>
      </c>
      <c r="J54">
        <v>107</v>
      </c>
      <c r="K54">
        <f t="shared" si="17"/>
        <v>93.894779999999997</v>
      </c>
      <c r="L54">
        <v>217</v>
      </c>
      <c r="M54">
        <f t="shared" si="15"/>
        <v>35.222684000000001</v>
      </c>
      <c r="N54">
        <v>269</v>
      </c>
      <c r="O54">
        <v>11.231372599999998</v>
      </c>
      <c r="P54" s="3">
        <f t="shared" si="16"/>
        <v>61819.84667739999</v>
      </c>
      <c r="Q54" s="3">
        <f t="shared" si="18"/>
        <v>212729.46997959999</v>
      </c>
      <c r="R54">
        <v>4458336</v>
      </c>
      <c r="S54">
        <f>Q54/R54*100</f>
        <v>4.7714992764026753</v>
      </c>
    </row>
    <row r="55" spans="1:19" x14ac:dyDescent="0.2">
      <c r="A55">
        <v>60000</v>
      </c>
      <c r="B55">
        <v>1</v>
      </c>
      <c r="C55">
        <v>2770.2149999999997</v>
      </c>
      <c r="D55">
        <v>4</v>
      </c>
      <c r="E55">
        <v>1406.664</v>
      </c>
      <c r="F55">
        <v>12</v>
      </c>
      <c r="G55">
        <v>550.31171999999992</v>
      </c>
      <c r="H55">
        <v>37</v>
      </c>
      <c r="I55">
        <v>227.98075999999998</v>
      </c>
      <c r="J55">
        <v>83</v>
      </c>
      <c r="K55">
        <f t="shared" si="17"/>
        <v>93.894779999999997</v>
      </c>
      <c r="L55">
        <v>166</v>
      </c>
      <c r="M55">
        <f t="shared" si="15"/>
        <v>35.222684000000001</v>
      </c>
      <c r="N55">
        <v>203</v>
      </c>
      <c r="O55">
        <v>11.231372599999998</v>
      </c>
      <c r="P55" s="3">
        <f t="shared" si="16"/>
        <v>39356.100681799995</v>
      </c>
      <c r="Q55" s="3">
        <f t="shared" si="18"/>
        <v>150909.62330219999</v>
      </c>
      <c r="R55">
        <v>4458336</v>
      </c>
      <c r="S55">
        <f>Q55/R55*100</f>
        <v>3.3848867223600911</v>
      </c>
    </row>
    <row r="56" spans="1:19" x14ac:dyDescent="0.2">
      <c r="A56">
        <v>70000</v>
      </c>
      <c r="B56">
        <v>0</v>
      </c>
      <c r="C56">
        <v>2770.2149999999997</v>
      </c>
      <c r="D56">
        <v>1</v>
      </c>
      <c r="E56">
        <v>1406.664</v>
      </c>
      <c r="F56">
        <v>7</v>
      </c>
      <c r="G56">
        <v>550.31171999999992</v>
      </c>
      <c r="H56">
        <v>23</v>
      </c>
      <c r="I56">
        <v>227.98075999999998</v>
      </c>
      <c r="J56">
        <v>58</v>
      </c>
      <c r="K56">
        <f t="shared" si="17"/>
        <v>93.894779999999997</v>
      </c>
      <c r="L56">
        <v>112</v>
      </c>
      <c r="M56">
        <f t="shared" si="15"/>
        <v>35.222684000000001</v>
      </c>
      <c r="N56">
        <v>128</v>
      </c>
      <c r="O56">
        <v>11.231372599999998</v>
      </c>
      <c r="P56" s="3">
        <f t="shared" si="16"/>
        <v>21330.857060799997</v>
      </c>
      <c r="Q56" s="3">
        <f t="shared" si="18"/>
        <v>111553.52262039999</v>
      </c>
      <c r="R56">
        <v>4458336</v>
      </c>
      <c r="S56">
        <f>Q56/R56*100</f>
        <v>2.502133590209441</v>
      </c>
    </row>
    <row r="57" spans="1:19" x14ac:dyDescent="0.2">
      <c r="A57">
        <v>80000</v>
      </c>
      <c r="B57">
        <v>0</v>
      </c>
      <c r="C57">
        <v>2770.2149999999997</v>
      </c>
      <c r="D57">
        <v>4</v>
      </c>
      <c r="E57">
        <v>1406.664</v>
      </c>
      <c r="F57">
        <v>5</v>
      </c>
      <c r="G57">
        <v>550.31171999999992</v>
      </c>
      <c r="H57">
        <v>25</v>
      </c>
      <c r="I57">
        <v>227.98075999999998</v>
      </c>
      <c r="J57">
        <v>38</v>
      </c>
      <c r="K57">
        <f t="shared" si="17"/>
        <v>93.894779999999997</v>
      </c>
      <c r="L57">
        <v>80</v>
      </c>
      <c r="M57">
        <f t="shared" si="15"/>
        <v>35.222684000000001</v>
      </c>
      <c r="N57">
        <v>99</v>
      </c>
      <c r="O57">
        <v>11.231372599999998</v>
      </c>
      <c r="P57" s="3">
        <f t="shared" si="16"/>
        <v>21575.455847399997</v>
      </c>
      <c r="Q57" s="3">
        <f t="shared" si="18"/>
        <v>90222.665559599991</v>
      </c>
      <c r="R57">
        <v>4458336</v>
      </c>
      <c r="S57">
        <f t="shared" ref="S57:S63" si="19">Q57/R57*100</f>
        <v>2.0236847460487497</v>
      </c>
    </row>
    <row r="58" spans="1:19" x14ac:dyDescent="0.2">
      <c r="A58">
        <v>90000</v>
      </c>
      <c r="B58">
        <v>0</v>
      </c>
      <c r="C58">
        <v>2770.2149999999997</v>
      </c>
      <c r="D58">
        <v>3</v>
      </c>
      <c r="E58">
        <v>1406.664</v>
      </c>
      <c r="F58">
        <v>2</v>
      </c>
      <c r="G58">
        <v>550.31171999999992</v>
      </c>
      <c r="H58">
        <v>17</v>
      </c>
      <c r="I58">
        <v>227.98075999999998</v>
      </c>
      <c r="J58">
        <v>47</v>
      </c>
      <c r="K58">
        <f t="shared" si="17"/>
        <v>93.894779999999997</v>
      </c>
      <c r="L58">
        <v>56</v>
      </c>
      <c r="M58">
        <f t="shared" si="15"/>
        <v>35.222684000000001</v>
      </c>
      <c r="N58">
        <v>88</v>
      </c>
      <c r="O58">
        <v>11.231372599999998</v>
      </c>
      <c r="P58" s="3">
        <f t="shared" si="16"/>
        <v>16570.174112799999</v>
      </c>
      <c r="Q58" s="3">
        <f t="shared" si="18"/>
        <v>68647.209712199998</v>
      </c>
      <c r="R58">
        <v>4458336</v>
      </c>
      <c r="S58">
        <f t="shared" si="19"/>
        <v>1.5397495772458603</v>
      </c>
    </row>
    <row r="59" spans="1:19" x14ac:dyDescent="0.2">
      <c r="A59">
        <v>100000</v>
      </c>
      <c r="B59">
        <v>0</v>
      </c>
      <c r="C59">
        <v>2770.2149999999997</v>
      </c>
      <c r="D59">
        <v>0</v>
      </c>
      <c r="E59">
        <v>1406.664</v>
      </c>
      <c r="F59">
        <v>8</v>
      </c>
      <c r="G59">
        <v>550.31171999999992</v>
      </c>
      <c r="H59">
        <v>5</v>
      </c>
      <c r="I59">
        <v>227.98075999999998</v>
      </c>
      <c r="J59">
        <v>49</v>
      </c>
      <c r="K59">
        <f t="shared" si="17"/>
        <v>93.894779999999997</v>
      </c>
      <c r="L59">
        <v>76</v>
      </c>
      <c r="M59">
        <f t="shared" si="15"/>
        <v>35.222684000000001</v>
      </c>
      <c r="N59">
        <v>127</v>
      </c>
      <c r="O59">
        <v>11.231372599999998</v>
      </c>
      <c r="P59" s="3">
        <f t="shared" si="16"/>
        <v>14246.5500842</v>
      </c>
      <c r="Q59" s="3">
        <f t="shared" si="18"/>
        <v>52077.035599399998</v>
      </c>
      <c r="R59">
        <v>4458336</v>
      </c>
      <c r="S59">
        <f t="shared" si="19"/>
        <v>1.1680823428157949</v>
      </c>
    </row>
    <row r="60" spans="1:19" x14ac:dyDescent="0.2">
      <c r="A60">
        <v>120000</v>
      </c>
      <c r="B60">
        <v>0</v>
      </c>
      <c r="C60">
        <v>2770.2149999999997</v>
      </c>
      <c r="D60">
        <v>1</v>
      </c>
      <c r="E60">
        <v>1406.664</v>
      </c>
      <c r="F60">
        <v>4</v>
      </c>
      <c r="G60">
        <v>550.31171999999992</v>
      </c>
      <c r="H60">
        <v>14</v>
      </c>
      <c r="I60">
        <v>227.98075999999998</v>
      </c>
      <c r="J60">
        <v>38</v>
      </c>
      <c r="K60">
        <f t="shared" si="17"/>
        <v>93.894779999999997</v>
      </c>
      <c r="L60">
        <v>60</v>
      </c>
      <c r="M60">
        <f t="shared" si="15"/>
        <v>35.222684000000001</v>
      </c>
      <c r="N60">
        <v>75</v>
      </c>
      <c r="O60">
        <v>11.231372599999998</v>
      </c>
      <c r="P60" s="3">
        <f t="shared" si="16"/>
        <v>13323.357145</v>
      </c>
      <c r="Q60" s="3">
        <f t="shared" si="18"/>
        <v>37830.485515200002</v>
      </c>
      <c r="R60">
        <v>4458336</v>
      </c>
      <c r="S60">
        <f t="shared" si="19"/>
        <v>0.84853374701233819</v>
      </c>
    </row>
    <row r="61" spans="1:19" x14ac:dyDescent="0.2">
      <c r="A61">
        <v>140000</v>
      </c>
      <c r="B61">
        <v>0</v>
      </c>
      <c r="C61">
        <v>2770.2149999999997</v>
      </c>
      <c r="D61">
        <v>1</v>
      </c>
      <c r="E61">
        <v>1406.664</v>
      </c>
      <c r="F61">
        <v>1</v>
      </c>
      <c r="G61">
        <v>550.31171999999992</v>
      </c>
      <c r="H61">
        <v>9</v>
      </c>
      <c r="I61">
        <v>227.98075999999998</v>
      </c>
      <c r="J61">
        <v>21</v>
      </c>
      <c r="K61">
        <f t="shared" si="17"/>
        <v>93.894779999999997</v>
      </c>
      <c r="L61">
        <v>35</v>
      </c>
      <c r="M61">
        <f t="shared" si="15"/>
        <v>35.222684000000001</v>
      </c>
      <c r="N61">
        <v>47</v>
      </c>
      <c r="O61">
        <v>11.231372599999998</v>
      </c>
      <c r="P61" s="3">
        <f t="shared" si="16"/>
        <v>7741.2613922</v>
      </c>
      <c r="Q61" s="3">
        <f t="shared" si="18"/>
        <v>24507.1283702</v>
      </c>
      <c r="R61">
        <v>4458336</v>
      </c>
      <c r="S61">
        <f t="shared" si="19"/>
        <v>0.54969227016985711</v>
      </c>
    </row>
    <row r="62" spans="1:19" x14ac:dyDescent="0.2">
      <c r="A62">
        <v>160000</v>
      </c>
      <c r="B62">
        <v>0</v>
      </c>
      <c r="C62">
        <v>2770.2149999999997</v>
      </c>
      <c r="D62">
        <v>0</v>
      </c>
      <c r="E62">
        <v>1406.664</v>
      </c>
      <c r="F62">
        <v>2</v>
      </c>
      <c r="G62">
        <v>550.31171999999992</v>
      </c>
      <c r="H62">
        <v>7</v>
      </c>
      <c r="I62">
        <v>227.98075999999998</v>
      </c>
      <c r="J62">
        <v>9</v>
      </c>
      <c r="K62">
        <f t="shared" si="17"/>
        <v>93.894779999999997</v>
      </c>
      <c r="L62">
        <v>30</v>
      </c>
      <c r="M62">
        <f t="shared" si="15"/>
        <v>35.222684000000001</v>
      </c>
      <c r="N62">
        <v>47</v>
      </c>
      <c r="O62">
        <v>11.231372599999998</v>
      </c>
      <c r="P62" s="3">
        <f t="shared" si="16"/>
        <v>5126.0968121999995</v>
      </c>
      <c r="Q62" s="3">
        <f t="shared" si="18"/>
        <v>16765.866977999998</v>
      </c>
      <c r="R62">
        <v>4458336</v>
      </c>
      <c r="S62">
        <f t="shared" si="19"/>
        <v>0.37605660448203093</v>
      </c>
    </row>
    <row r="63" spans="1:19" x14ac:dyDescent="0.2">
      <c r="A63">
        <v>180000</v>
      </c>
      <c r="B63">
        <v>0</v>
      </c>
      <c r="C63">
        <v>2770.2149999999997</v>
      </c>
      <c r="D63">
        <v>0</v>
      </c>
      <c r="E63">
        <v>1406.664</v>
      </c>
      <c r="F63">
        <v>0</v>
      </c>
      <c r="G63">
        <v>550.31171999999992</v>
      </c>
      <c r="H63">
        <v>3</v>
      </c>
      <c r="I63">
        <v>227.98075999999998</v>
      </c>
      <c r="J63">
        <v>5</v>
      </c>
      <c r="K63">
        <f t="shared" si="17"/>
        <v>93.894779999999997</v>
      </c>
      <c r="L63">
        <v>21</v>
      </c>
      <c r="M63">
        <f t="shared" si="15"/>
        <v>35.222684000000001</v>
      </c>
      <c r="N63">
        <v>27</v>
      </c>
      <c r="O63">
        <v>11.231372599999998</v>
      </c>
      <c r="P63" s="3">
        <f t="shared" si="16"/>
        <v>2196.3396041999999</v>
      </c>
      <c r="Q63" s="3">
        <f>P64+P63</f>
        <v>11639.770165799999</v>
      </c>
      <c r="R63">
        <v>4458336</v>
      </c>
      <c r="S63">
        <f t="shared" si="19"/>
        <v>0.26107880083062379</v>
      </c>
    </row>
    <row r="64" spans="1:19" x14ac:dyDescent="0.2">
      <c r="A64">
        <v>200000</v>
      </c>
      <c r="B64">
        <v>0</v>
      </c>
      <c r="C64">
        <v>2770.2149999999997</v>
      </c>
      <c r="D64">
        <v>0</v>
      </c>
      <c r="E64">
        <v>1406.664</v>
      </c>
      <c r="F64">
        <v>2</v>
      </c>
      <c r="G64">
        <v>550.31171999999992</v>
      </c>
      <c r="H64">
        <v>19</v>
      </c>
      <c r="I64">
        <v>227.98075999999998</v>
      </c>
      <c r="J64">
        <v>22</v>
      </c>
      <c r="K64">
        <f t="shared" si="17"/>
        <v>93.894779999999997</v>
      </c>
      <c r="L64">
        <v>31</v>
      </c>
      <c r="M64">
        <f t="shared" si="15"/>
        <v>35.222684000000001</v>
      </c>
      <c r="N64">
        <v>76</v>
      </c>
      <c r="O64">
        <v>11.231372599999998</v>
      </c>
      <c r="P64" s="3">
        <f t="shared" si="16"/>
        <v>9443.4305615999983</v>
      </c>
      <c r="Q64" s="3">
        <f>P65+P64</f>
        <v>10582.666866799998</v>
      </c>
      <c r="R64">
        <v>4458336</v>
      </c>
      <c r="S64">
        <f>Q64/R64*100</f>
        <v>0.23736808681086391</v>
      </c>
    </row>
    <row r="65" spans="1:19" x14ac:dyDescent="0.2">
      <c r="A65">
        <v>350000</v>
      </c>
      <c r="B65">
        <v>0</v>
      </c>
      <c r="C65">
        <v>2770.2149999999997</v>
      </c>
      <c r="D65">
        <v>0</v>
      </c>
      <c r="E65">
        <v>1406.664</v>
      </c>
      <c r="F65">
        <v>0</v>
      </c>
      <c r="G65">
        <v>550.31171999999992</v>
      </c>
      <c r="H65">
        <v>0</v>
      </c>
      <c r="I65">
        <v>227.98075999999998</v>
      </c>
      <c r="J65">
        <v>5</v>
      </c>
      <c r="K65">
        <f t="shared" si="17"/>
        <v>93.894779999999997</v>
      </c>
      <c r="L65">
        <v>12</v>
      </c>
      <c r="M65">
        <f t="shared" si="15"/>
        <v>35.222684000000001</v>
      </c>
      <c r="N65">
        <v>22</v>
      </c>
      <c r="O65">
        <v>11.231372599999998</v>
      </c>
      <c r="P65" s="3">
        <f t="shared" si="16"/>
        <v>1139.2363051999998</v>
      </c>
      <c r="Q65" s="3">
        <f>P66+P65</f>
        <v>1746.0990413999998</v>
      </c>
      <c r="R65">
        <v>4458336</v>
      </c>
      <c r="S65">
        <f>Q65/R65*100</f>
        <v>3.9164814886092025E-2</v>
      </c>
    </row>
    <row r="66" spans="1:19" x14ac:dyDescent="0.2">
      <c r="A66">
        <v>500000</v>
      </c>
      <c r="B66">
        <v>0</v>
      </c>
      <c r="C66">
        <v>2770.2149999999997</v>
      </c>
      <c r="D66">
        <v>0</v>
      </c>
      <c r="E66">
        <v>1406.664</v>
      </c>
      <c r="F66">
        <v>0</v>
      </c>
      <c r="G66">
        <v>550.31171999999992</v>
      </c>
      <c r="H66">
        <v>0</v>
      </c>
      <c r="I66">
        <v>227.98075999999998</v>
      </c>
      <c r="J66">
        <v>3</v>
      </c>
      <c r="K66">
        <f t="shared" si="17"/>
        <v>93.894779999999997</v>
      </c>
      <c r="L66">
        <v>7</v>
      </c>
      <c r="M66">
        <f t="shared" si="15"/>
        <v>35.222684000000001</v>
      </c>
      <c r="N66">
        <v>7</v>
      </c>
      <c r="O66">
        <v>11.231372599999998</v>
      </c>
      <c r="P66" s="3">
        <f t="shared" si="16"/>
        <v>606.86273620000009</v>
      </c>
      <c r="Q66" s="3">
        <f>P67+P66</f>
        <v>1332.7459767999999</v>
      </c>
      <c r="R66">
        <v>4458336</v>
      </c>
      <c r="S66">
        <f>Q66/R66*100</f>
        <v>2.9893349823790757E-2</v>
      </c>
    </row>
    <row r="67" spans="1:19" x14ac:dyDescent="0.2">
      <c r="A67" t="s">
        <v>12</v>
      </c>
      <c r="B67">
        <v>0</v>
      </c>
      <c r="C67">
        <v>2770.2149999999997</v>
      </c>
      <c r="D67">
        <v>0</v>
      </c>
      <c r="E67">
        <v>1406.664</v>
      </c>
      <c r="F67">
        <v>1</v>
      </c>
      <c r="G67">
        <v>550.31171999999992</v>
      </c>
      <c r="H67">
        <v>0</v>
      </c>
      <c r="I67">
        <v>227.98075999999998</v>
      </c>
      <c r="J67">
        <v>1</v>
      </c>
      <c r="K67">
        <f t="shared" si="17"/>
        <v>93.894779999999997</v>
      </c>
      <c r="L67">
        <v>2</v>
      </c>
      <c r="M67">
        <f t="shared" si="15"/>
        <v>35.222684000000001</v>
      </c>
      <c r="N67">
        <v>1</v>
      </c>
      <c r="O67">
        <v>11.231372599999998</v>
      </c>
      <c r="P67" s="3">
        <f t="shared" si="16"/>
        <v>725.88324059999991</v>
      </c>
      <c r="Q67" s="3">
        <v>271</v>
      </c>
      <c r="R67">
        <v>4458336</v>
      </c>
      <c r="S67">
        <f>Q67/R67*100</f>
        <v>6.0785010371582583E-3</v>
      </c>
    </row>
    <row r="68" spans="1:19" x14ac:dyDescent="0.2">
      <c r="A68" t="s">
        <v>3</v>
      </c>
      <c r="B68">
        <v>13</v>
      </c>
      <c r="C68">
        <v>2770.2149999999997</v>
      </c>
      <c r="D68">
        <v>31</v>
      </c>
      <c r="E68">
        <v>1406.664</v>
      </c>
      <c r="F68">
        <v>106</v>
      </c>
      <c r="G68">
        <v>550.31171999999992</v>
      </c>
      <c r="H68">
        <v>349</v>
      </c>
      <c r="I68">
        <v>227.98075999999998</v>
      </c>
      <c r="J68">
        <v>893</v>
      </c>
      <c r="K68">
        <f t="shared" si="17"/>
        <v>93.894779999999997</v>
      </c>
      <c r="L68">
        <v>1762</v>
      </c>
      <c r="M68">
        <f t="shared" si="15"/>
        <v>35.222684000000001</v>
      </c>
      <c r="N68">
        <v>2245</v>
      </c>
      <c r="O68">
        <v>11.231372599999998</v>
      </c>
      <c r="P68" s="3">
        <f t="shared" si="16"/>
        <v>388642.54579500004</v>
      </c>
      <c r="Q68" s="3"/>
      <c r="R68">
        <v>4458336</v>
      </c>
    </row>
    <row r="69" spans="1:19" ht="15" x14ac:dyDescent="0.25">
      <c r="A69" s="2" t="s">
        <v>24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76</v>
      </c>
      <c r="B73" s="14">
        <v>5.0000000000000001E-4</v>
      </c>
      <c r="C73" s="4">
        <f>S65/100</f>
        <v>3.9164814886092026E-4</v>
      </c>
      <c r="D73" s="5">
        <f>S64/100</f>
        <v>2.3736808681086392E-3</v>
      </c>
      <c r="E73" s="5">
        <v>350000</v>
      </c>
      <c r="F73" s="5">
        <v>200000</v>
      </c>
      <c r="G73" s="5">
        <f t="shared" ref="G73:G78" si="20">D73/C73</f>
        <v>6.0607483400912656</v>
      </c>
      <c r="H73" s="5">
        <f t="shared" ref="H73:H78" si="21">LN(G73)</f>
        <v>1.8018332809210555</v>
      </c>
      <c r="I73" s="5">
        <f t="shared" ref="I73:I78" si="22">E73/F73</f>
        <v>1.75</v>
      </c>
      <c r="J73" s="5">
        <f t="shared" ref="J73:J78" si="23">LN(I73)</f>
        <v>0.55961578793542266</v>
      </c>
      <c r="K73" s="4">
        <v>1.9234801750286095</v>
      </c>
      <c r="L73" s="4">
        <v>4811.8027558538124</v>
      </c>
      <c r="M73" s="7">
        <f t="shared" ref="M73:M78" si="24">POWER(B73,1/K73)</f>
        <v>1.9223137344769516E-2</v>
      </c>
      <c r="N73" s="8">
        <f t="shared" ref="N73:N78" si="25">L73/M73</f>
        <v>250313.08207154181</v>
      </c>
      <c r="O73">
        <f t="shared" ref="O73:O78" si="26">R54</f>
        <v>4458336</v>
      </c>
      <c r="P73" s="8">
        <f>O73*(K73/(1-K73))*POWER(L73,K73)*(-1)*POWER(N73,1-K73)</f>
        <v>1162215024.9129722</v>
      </c>
      <c r="Q73" s="9">
        <f t="shared" ref="Q73:Q78" si="27">B73*O73</f>
        <v>2229.1680000000001</v>
      </c>
      <c r="R73" s="4">
        <f t="shared" ref="R73:R78" si="28">P73/Q73</f>
        <v>521367.17596563924</v>
      </c>
      <c r="S73" s="3">
        <f t="shared" ref="S73:S78" si="29">4.753*P73*1.23</f>
        <v>6794529856.4959688</v>
      </c>
    </row>
    <row r="74" spans="1:19" x14ac:dyDescent="0.2">
      <c r="A74" t="s">
        <v>76</v>
      </c>
      <c r="B74" s="14">
        <v>1E-3</v>
      </c>
      <c r="C74" s="5">
        <f>S65/100</f>
        <v>3.9164814886092026E-4</v>
      </c>
      <c r="D74" s="5">
        <f>S64/100</f>
        <v>2.3736808681086392E-3</v>
      </c>
      <c r="E74" s="5">
        <v>350000</v>
      </c>
      <c r="F74" s="5">
        <v>200000</v>
      </c>
      <c r="G74" s="5">
        <f t="shared" si="20"/>
        <v>6.0607483400912656</v>
      </c>
      <c r="H74" s="5">
        <f t="shared" si="21"/>
        <v>1.8018332809210555</v>
      </c>
      <c r="I74" s="5">
        <f t="shared" si="22"/>
        <v>1.75</v>
      </c>
      <c r="J74" s="5">
        <f t="shared" si="23"/>
        <v>0.55961578793542266</v>
      </c>
      <c r="K74" s="4">
        <v>1.9234801750286095</v>
      </c>
      <c r="L74" s="4">
        <v>4811.8027558538124</v>
      </c>
      <c r="M74" s="7">
        <f t="shared" si="24"/>
        <v>2.7563035814321329E-2</v>
      </c>
      <c r="N74" s="8">
        <f t="shared" si="25"/>
        <v>174574.48403973243</v>
      </c>
      <c r="O74">
        <f t="shared" si="26"/>
        <v>4458336</v>
      </c>
      <c r="P74" s="8">
        <f>O74*(K74/(1-K74))*POWER(L74,K74)*(POWER(N73,1-K74)-POWER(N74,1-K74))+P73</f>
        <v>1621114538.9470148</v>
      </c>
      <c r="Q74" s="9">
        <f t="shared" si="27"/>
        <v>4458.3360000000002</v>
      </c>
      <c r="R74" s="4">
        <f t="shared" si="28"/>
        <v>363614.25853659632</v>
      </c>
      <c r="S74" s="3">
        <f t="shared" si="29"/>
        <v>9477343606.4466496</v>
      </c>
    </row>
    <row r="75" spans="1:19" x14ac:dyDescent="0.2">
      <c r="A75" t="s">
        <v>82</v>
      </c>
      <c r="B75" s="14">
        <v>2.5000000000000001E-3</v>
      </c>
      <c r="C75" s="5">
        <f>S64/100</f>
        <v>2.3736808681086392E-3</v>
      </c>
      <c r="D75" s="5">
        <f>S63/100</f>
        <v>2.6107880083062378E-3</v>
      </c>
      <c r="E75" s="5">
        <v>200000</v>
      </c>
      <c r="F75" s="5">
        <v>180000</v>
      </c>
      <c r="G75" s="5">
        <f t="shared" si="20"/>
        <v>1.0998900666821849</v>
      </c>
      <c r="H75" s="5">
        <f t="shared" si="21"/>
        <v>9.5210235430220391E-2</v>
      </c>
      <c r="I75" s="5">
        <f t="shared" si="22"/>
        <v>1.1111111111111112</v>
      </c>
      <c r="J75" s="5">
        <f t="shared" si="23"/>
        <v>0.10536051565782635</v>
      </c>
      <c r="K75" s="4">
        <f>H75/J75</f>
        <v>0.90366144125024528</v>
      </c>
      <c r="L75" s="4">
        <f>F75*(D75^(1/K75))</f>
        <v>249.25758722069605</v>
      </c>
      <c r="M75" s="7">
        <f t="shared" si="24"/>
        <v>1.3198867240597038E-3</v>
      </c>
      <c r="N75" s="8">
        <f t="shared" si="25"/>
        <v>188847.71145665462</v>
      </c>
      <c r="O75">
        <f t="shared" si="26"/>
        <v>4458336</v>
      </c>
      <c r="P75" s="8">
        <f>O75*(K75/(1-K75))*POWER(L75,K75)*(POWER(N74,1-K75)-POWER(N75,1-K75))+P74</f>
        <v>1472195084.5203545</v>
      </c>
      <c r="Q75" s="9">
        <f t="shared" si="27"/>
        <v>11145.84</v>
      </c>
      <c r="R75" s="4">
        <f t="shared" si="28"/>
        <v>132084.71362592271</v>
      </c>
      <c r="S75" s="3">
        <f t="shared" si="29"/>
        <v>8606732181.1720524</v>
      </c>
    </row>
    <row r="76" spans="1:19" x14ac:dyDescent="0.2">
      <c r="A76" t="s">
        <v>80</v>
      </c>
      <c r="B76" s="14">
        <v>5.0000000000000001E-3</v>
      </c>
      <c r="C76" s="5">
        <f>S62/100</f>
        <v>3.7605660448203093E-3</v>
      </c>
      <c r="D76" s="5">
        <f>S61/100</f>
        <v>5.4969227016985712E-3</v>
      </c>
      <c r="E76" s="5">
        <v>160000</v>
      </c>
      <c r="F76" s="5">
        <v>140000</v>
      </c>
      <c r="G76" s="5">
        <f t="shared" si="20"/>
        <v>1.4617274729877081</v>
      </c>
      <c r="H76" s="5">
        <f t="shared" si="21"/>
        <v>0.37961893696649357</v>
      </c>
      <c r="I76" s="5">
        <f t="shared" si="22"/>
        <v>1.1428571428571428</v>
      </c>
      <c r="J76" s="5">
        <f t="shared" si="23"/>
        <v>0.13353139262452257</v>
      </c>
      <c r="K76" s="4">
        <f>H76/J76</f>
        <v>2.8429190282913135</v>
      </c>
      <c r="L76" s="4">
        <f>F76*(D76^(1/K76))</f>
        <v>22449.803627006011</v>
      </c>
      <c r="M76" s="7">
        <f t="shared" si="24"/>
        <v>0.15509938767393014</v>
      </c>
      <c r="N76" s="8">
        <f t="shared" si="25"/>
        <v>144744.63093434562</v>
      </c>
      <c r="O76">
        <f t="shared" si="26"/>
        <v>4458336</v>
      </c>
      <c r="P76" s="8">
        <f>O76*(K76/(1-K76))*POWER(L76,K76)*(POWER(N75,1-K76)-POWER(N76,1-K76))+P75</f>
        <v>3400803619.0077143</v>
      </c>
      <c r="Q76" s="9">
        <f t="shared" si="27"/>
        <v>22291.68</v>
      </c>
      <c r="R76" s="4">
        <f t="shared" si="28"/>
        <v>152559.32343402176</v>
      </c>
      <c r="S76" s="3">
        <f t="shared" si="29"/>
        <v>19881744109.406712</v>
      </c>
    </row>
    <row r="77" spans="1:19" x14ac:dyDescent="0.2">
      <c r="A77" t="s">
        <v>71</v>
      </c>
      <c r="B77" s="14">
        <v>0.01</v>
      </c>
      <c r="C77" s="5">
        <f>S60/100</f>
        <v>8.485337470123382E-3</v>
      </c>
      <c r="D77" s="5">
        <f>S59/100</f>
        <v>1.168082342815795E-2</v>
      </c>
      <c r="E77" s="5">
        <v>120000</v>
      </c>
      <c r="F77" s="5">
        <v>100000</v>
      </c>
      <c r="G77" s="5">
        <f t="shared" si="20"/>
        <v>1.3765891420683949</v>
      </c>
      <c r="H77" s="5">
        <f t="shared" si="21"/>
        <v>0.31960880345167036</v>
      </c>
      <c r="I77" s="5">
        <f t="shared" si="22"/>
        <v>1.2</v>
      </c>
      <c r="J77" s="5">
        <f t="shared" si="23"/>
        <v>0.18232155679395459</v>
      </c>
      <c r="K77" s="4">
        <f>H77/J77</f>
        <v>1.7529951426032795</v>
      </c>
      <c r="L77" s="4">
        <f>F77*(D77^(1/K77))</f>
        <v>7899.2509711815319</v>
      </c>
      <c r="M77" s="7">
        <f t="shared" si="24"/>
        <v>7.2292880022104114E-2</v>
      </c>
      <c r="N77" s="8">
        <f t="shared" si="25"/>
        <v>109267.34373794866</v>
      </c>
      <c r="O77">
        <f t="shared" si="26"/>
        <v>4458336</v>
      </c>
      <c r="P77" s="8">
        <f>O77*(K77/(1-K77))*POWER(L77,K77)*(POWER(N76,1-K77)-POWER(N77,1-K77))+P76</f>
        <v>5564788184.5301847</v>
      </c>
      <c r="Q77" s="9">
        <f t="shared" si="27"/>
        <v>44583.360000000001</v>
      </c>
      <c r="R77" s="4">
        <f t="shared" si="28"/>
        <v>124817.60424809132</v>
      </c>
      <c r="S77" s="3">
        <f t="shared" si="29"/>
        <v>32532809036.51852</v>
      </c>
    </row>
    <row r="78" spans="1:19" x14ac:dyDescent="0.2">
      <c r="A78" t="s">
        <v>79</v>
      </c>
      <c r="B78" s="14">
        <v>0.02</v>
      </c>
      <c r="C78" s="5">
        <f>S58/100</f>
        <v>1.5397495772458603E-2</v>
      </c>
      <c r="D78" s="5">
        <f>S57/100</f>
        <v>2.0236847460487498E-2</v>
      </c>
      <c r="E78" s="5">
        <v>90000</v>
      </c>
      <c r="F78" s="5">
        <v>80000</v>
      </c>
      <c r="G78" s="5">
        <f t="shared" si="20"/>
        <v>1.3142947242554215</v>
      </c>
      <c r="H78" s="5">
        <f t="shared" si="21"/>
        <v>0.27330019038791681</v>
      </c>
      <c r="I78" s="5">
        <f t="shared" si="22"/>
        <v>1.125</v>
      </c>
      <c r="J78" s="5">
        <f t="shared" si="23"/>
        <v>0.11778303565638346</v>
      </c>
      <c r="K78" s="4">
        <f>H78/J78</f>
        <v>2.3203697278208573</v>
      </c>
      <c r="L78" s="4">
        <f>F78*(D78^(1/K78))</f>
        <v>14896.885710883726</v>
      </c>
      <c r="M78" s="7">
        <f t="shared" si="24"/>
        <v>0.18526868970134425</v>
      </c>
      <c r="N78" s="8">
        <f t="shared" si="25"/>
        <v>80406.925395206912</v>
      </c>
      <c r="O78">
        <f t="shared" si="26"/>
        <v>4458336</v>
      </c>
      <c r="P78" s="8">
        <f>O78*(K78/(1-K78))*POWER(L78,K78)*(POWER(N77,1-K78)-POWER(N78,1-K78))+P77</f>
        <v>9760369604.7130165</v>
      </c>
      <c r="Q78" s="9">
        <f t="shared" si="27"/>
        <v>89166.720000000001</v>
      </c>
      <c r="R78" s="4">
        <f t="shared" si="28"/>
        <v>109462.02355220665</v>
      </c>
      <c r="S78" s="3">
        <f t="shared" si="29"/>
        <v>57060975179.37719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30">S32+S73</f>
        <v>21969783885.109932</v>
      </c>
      <c r="C85">
        <f t="shared" ref="C85:C90" si="31">1246550000000*1.23</f>
        <v>1533256500000</v>
      </c>
      <c r="F85" s="10">
        <f t="shared" ref="F85:F90" si="32">B85/C85*100</f>
        <v>1.4328837924450299</v>
      </c>
    </row>
    <row r="86" spans="1:7" ht="15" x14ac:dyDescent="0.25">
      <c r="A86" s="18">
        <v>1E-3</v>
      </c>
      <c r="B86" s="3">
        <f t="shared" si="30"/>
        <v>32836281780.150642</v>
      </c>
      <c r="C86">
        <f t="shared" si="31"/>
        <v>1533256500000</v>
      </c>
      <c r="F86" s="10">
        <f t="shared" si="32"/>
        <v>2.1416039508164904</v>
      </c>
    </row>
    <row r="87" spans="1:7" ht="15" x14ac:dyDescent="0.25">
      <c r="A87" s="18">
        <v>2.5000000000000001E-3</v>
      </c>
      <c r="B87" s="3">
        <f t="shared" si="30"/>
        <v>48679145567.606163</v>
      </c>
      <c r="C87">
        <f t="shared" si="31"/>
        <v>1533256500000</v>
      </c>
      <c r="F87" s="10">
        <f t="shared" si="32"/>
        <v>3.1748859742388937</v>
      </c>
    </row>
    <row r="88" spans="1:7" ht="15" x14ac:dyDescent="0.25">
      <c r="A88" s="18">
        <v>5.0000000000000001E-3</v>
      </c>
      <c r="B88" s="3">
        <f t="shared" si="30"/>
        <v>79170486931.903717</v>
      </c>
      <c r="C88">
        <f t="shared" si="31"/>
        <v>1533256500000</v>
      </c>
      <c r="F88" s="10">
        <f t="shared" si="32"/>
        <v>5.1635513648175442</v>
      </c>
    </row>
    <row r="89" spans="1:7" ht="15" x14ac:dyDescent="0.25">
      <c r="A89" s="19">
        <v>0.01</v>
      </c>
      <c r="B89" s="3">
        <f t="shared" si="30"/>
        <v>120069322897.37062</v>
      </c>
      <c r="C89">
        <f t="shared" si="31"/>
        <v>1533256500000</v>
      </c>
      <c r="F89" s="10">
        <f t="shared" si="32"/>
        <v>7.8310004162624205</v>
      </c>
    </row>
    <row r="90" spans="1:7" ht="15" x14ac:dyDescent="0.25">
      <c r="A90" s="19">
        <v>0.02</v>
      </c>
      <c r="B90" s="3">
        <f t="shared" si="30"/>
        <v>180880175179.05869</v>
      </c>
      <c r="C90">
        <f t="shared" si="31"/>
        <v>1533256500000</v>
      </c>
      <c r="F90" s="10">
        <f t="shared" si="32"/>
        <v>11.79712430236289</v>
      </c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.85546875" customWidth="1"/>
    <col min="2" max="2" width="25.85546875" customWidth="1"/>
    <col min="3" max="3" width="14.42578125" customWidth="1"/>
    <col min="5" max="5" width="14.5703125" customWidth="1"/>
    <col min="7" max="7" width="14" customWidth="1"/>
    <col min="9" max="9" width="14.140625" customWidth="1"/>
    <col min="11" max="11" width="13.140625" customWidth="1"/>
    <col min="13" max="13" width="13.7109375" customWidth="1"/>
    <col min="14" max="14" width="13.140625" customWidth="1"/>
    <col min="15" max="15" width="11.7109375" customWidth="1"/>
    <col min="16" max="16" width="13.7109375" customWidth="1"/>
    <col min="17" max="17" width="23.7109375" customWidth="1"/>
    <col min="18" max="18" width="14.5703125" customWidth="1"/>
    <col min="19" max="19" width="13" customWidth="1"/>
    <col min="257" max="257" width="14.85546875" customWidth="1"/>
    <col min="258" max="258" width="25.85546875" customWidth="1"/>
    <col min="259" max="259" width="14.42578125" customWidth="1"/>
    <col min="261" max="261" width="14.5703125" customWidth="1"/>
    <col min="263" max="263" width="14" customWidth="1"/>
    <col min="265" max="265" width="14.140625" customWidth="1"/>
    <col min="267" max="267" width="13.140625" customWidth="1"/>
    <col min="269" max="269" width="13.7109375" customWidth="1"/>
    <col min="270" max="270" width="13.140625" customWidth="1"/>
    <col min="271" max="271" width="11.7109375" customWidth="1"/>
    <col min="272" max="272" width="13.7109375" customWidth="1"/>
    <col min="273" max="273" width="23.7109375" customWidth="1"/>
    <col min="274" max="274" width="14.5703125" customWidth="1"/>
    <col min="275" max="275" width="13" customWidth="1"/>
    <col min="513" max="513" width="14.85546875" customWidth="1"/>
    <col min="514" max="514" width="25.85546875" customWidth="1"/>
    <col min="515" max="515" width="14.42578125" customWidth="1"/>
    <col min="517" max="517" width="14.5703125" customWidth="1"/>
    <col min="519" max="519" width="14" customWidth="1"/>
    <col min="521" max="521" width="14.140625" customWidth="1"/>
    <col min="523" max="523" width="13.140625" customWidth="1"/>
    <col min="525" max="525" width="13.7109375" customWidth="1"/>
    <col min="526" max="526" width="13.140625" customWidth="1"/>
    <col min="527" max="527" width="11.7109375" customWidth="1"/>
    <col min="528" max="528" width="13.7109375" customWidth="1"/>
    <col min="529" max="529" width="23.7109375" customWidth="1"/>
    <col min="530" max="530" width="14.5703125" customWidth="1"/>
    <col min="531" max="531" width="13" customWidth="1"/>
    <col min="769" max="769" width="14.85546875" customWidth="1"/>
    <col min="770" max="770" width="25.85546875" customWidth="1"/>
    <col min="771" max="771" width="14.42578125" customWidth="1"/>
    <col min="773" max="773" width="14.5703125" customWidth="1"/>
    <col min="775" max="775" width="14" customWidth="1"/>
    <col min="777" max="777" width="14.140625" customWidth="1"/>
    <col min="779" max="779" width="13.140625" customWidth="1"/>
    <col min="781" max="781" width="13.7109375" customWidth="1"/>
    <col min="782" max="782" width="13.140625" customWidth="1"/>
    <col min="783" max="783" width="11.7109375" customWidth="1"/>
    <col min="784" max="784" width="13.7109375" customWidth="1"/>
    <col min="785" max="785" width="23.7109375" customWidth="1"/>
    <col min="786" max="786" width="14.5703125" customWidth="1"/>
    <col min="787" max="787" width="13" customWidth="1"/>
    <col min="1025" max="1025" width="14.85546875" customWidth="1"/>
    <col min="1026" max="1026" width="25.85546875" customWidth="1"/>
    <col min="1027" max="1027" width="14.42578125" customWidth="1"/>
    <col min="1029" max="1029" width="14.5703125" customWidth="1"/>
    <col min="1031" max="1031" width="14" customWidth="1"/>
    <col min="1033" max="1033" width="14.140625" customWidth="1"/>
    <col min="1035" max="1035" width="13.140625" customWidth="1"/>
    <col min="1037" max="1037" width="13.7109375" customWidth="1"/>
    <col min="1038" max="1038" width="13.140625" customWidth="1"/>
    <col min="1039" max="1039" width="11.7109375" customWidth="1"/>
    <col min="1040" max="1040" width="13.7109375" customWidth="1"/>
    <col min="1041" max="1041" width="23.7109375" customWidth="1"/>
    <col min="1042" max="1042" width="14.5703125" customWidth="1"/>
    <col min="1043" max="1043" width="13" customWidth="1"/>
    <col min="1281" max="1281" width="14.85546875" customWidth="1"/>
    <col min="1282" max="1282" width="25.85546875" customWidth="1"/>
    <col min="1283" max="1283" width="14.42578125" customWidth="1"/>
    <col min="1285" max="1285" width="14.5703125" customWidth="1"/>
    <col min="1287" max="1287" width="14" customWidth="1"/>
    <col min="1289" max="1289" width="14.140625" customWidth="1"/>
    <col min="1291" max="1291" width="13.140625" customWidth="1"/>
    <col min="1293" max="1293" width="13.7109375" customWidth="1"/>
    <col min="1294" max="1294" width="13.140625" customWidth="1"/>
    <col min="1295" max="1295" width="11.7109375" customWidth="1"/>
    <col min="1296" max="1296" width="13.7109375" customWidth="1"/>
    <col min="1297" max="1297" width="23.7109375" customWidth="1"/>
    <col min="1298" max="1298" width="14.5703125" customWidth="1"/>
    <col min="1299" max="1299" width="13" customWidth="1"/>
    <col min="1537" max="1537" width="14.85546875" customWidth="1"/>
    <col min="1538" max="1538" width="25.85546875" customWidth="1"/>
    <col min="1539" max="1539" width="14.42578125" customWidth="1"/>
    <col min="1541" max="1541" width="14.5703125" customWidth="1"/>
    <col min="1543" max="1543" width="14" customWidth="1"/>
    <col min="1545" max="1545" width="14.140625" customWidth="1"/>
    <col min="1547" max="1547" width="13.140625" customWidth="1"/>
    <col min="1549" max="1549" width="13.7109375" customWidth="1"/>
    <col min="1550" max="1550" width="13.140625" customWidth="1"/>
    <col min="1551" max="1551" width="11.7109375" customWidth="1"/>
    <col min="1552" max="1552" width="13.7109375" customWidth="1"/>
    <col min="1553" max="1553" width="23.7109375" customWidth="1"/>
    <col min="1554" max="1554" width="14.5703125" customWidth="1"/>
    <col min="1555" max="1555" width="13" customWidth="1"/>
    <col min="1793" max="1793" width="14.85546875" customWidth="1"/>
    <col min="1794" max="1794" width="25.85546875" customWidth="1"/>
    <col min="1795" max="1795" width="14.42578125" customWidth="1"/>
    <col min="1797" max="1797" width="14.5703125" customWidth="1"/>
    <col min="1799" max="1799" width="14" customWidth="1"/>
    <col min="1801" max="1801" width="14.140625" customWidth="1"/>
    <col min="1803" max="1803" width="13.140625" customWidth="1"/>
    <col min="1805" max="1805" width="13.7109375" customWidth="1"/>
    <col min="1806" max="1806" width="13.140625" customWidth="1"/>
    <col min="1807" max="1807" width="11.7109375" customWidth="1"/>
    <col min="1808" max="1808" width="13.7109375" customWidth="1"/>
    <col min="1809" max="1809" width="23.7109375" customWidth="1"/>
    <col min="1810" max="1810" width="14.5703125" customWidth="1"/>
    <col min="1811" max="1811" width="13" customWidth="1"/>
    <col min="2049" max="2049" width="14.85546875" customWidth="1"/>
    <col min="2050" max="2050" width="25.85546875" customWidth="1"/>
    <col min="2051" max="2051" width="14.42578125" customWidth="1"/>
    <col min="2053" max="2053" width="14.5703125" customWidth="1"/>
    <col min="2055" max="2055" width="14" customWidth="1"/>
    <col min="2057" max="2057" width="14.140625" customWidth="1"/>
    <col min="2059" max="2059" width="13.140625" customWidth="1"/>
    <col min="2061" max="2061" width="13.7109375" customWidth="1"/>
    <col min="2062" max="2062" width="13.140625" customWidth="1"/>
    <col min="2063" max="2063" width="11.7109375" customWidth="1"/>
    <col min="2064" max="2064" width="13.7109375" customWidth="1"/>
    <col min="2065" max="2065" width="23.7109375" customWidth="1"/>
    <col min="2066" max="2066" width="14.5703125" customWidth="1"/>
    <col min="2067" max="2067" width="13" customWidth="1"/>
    <col min="2305" max="2305" width="14.85546875" customWidth="1"/>
    <col min="2306" max="2306" width="25.85546875" customWidth="1"/>
    <col min="2307" max="2307" width="14.42578125" customWidth="1"/>
    <col min="2309" max="2309" width="14.5703125" customWidth="1"/>
    <col min="2311" max="2311" width="14" customWidth="1"/>
    <col min="2313" max="2313" width="14.140625" customWidth="1"/>
    <col min="2315" max="2315" width="13.140625" customWidth="1"/>
    <col min="2317" max="2317" width="13.7109375" customWidth="1"/>
    <col min="2318" max="2318" width="13.140625" customWidth="1"/>
    <col min="2319" max="2319" width="11.7109375" customWidth="1"/>
    <col min="2320" max="2320" width="13.7109375" customWidth="1"/>
    <col min="2321" max="2321" width="23.7109375" customWidth="1"/>
    <col min="2322" max="2322" width="14.5703125" customWidth="1"/>
    <col min="2323" max="2323" width="13" customWidth="1"/>
    <col min="2561" max="2561" width="14.85546875" customWidth="1"/>
    <col min="2562" max="2562" width="25.85546875" customWidth="1"/>
    <col min="2563" max="2563" width="14.42578125" customWidth="1"/>
    <col min="2565" max="2565" width="14.5703125" customWidth="1"/>
    <col min="2567" max="2567" width="14" customWidth="1"/>
    <col min="2569" max="2569" width="14.140625" customWidth="1"/>
    <col min="2571" max="2571" width="13.140625" customWidth="1"/>
    <col min="2573" max="2573" width="13.7109375" customWidth="1"/>
    <col min="2574" max="2574" width="13.140625" customWidth="1"/>
    <col min="2575" max="2575" width="11.7109375" customWidth="1"/>
    <col min="2576" max="2576" width="13.7109375" customWidth="1"/>
    <col min="2577" max="2577" width="23.7109375" customWidth="1"/>
    <col min="2578" max="2578" width="14.5703125" customWidth="1"/>
    <col min="2579" max="2579" width="13" customWidth="1"/>
    <col min="2817" max="2817" width="14.85546875" customWidth="1"/>
    <col min="2818" max="2818" width="25.85546875" customWidth="1"/>
    <col min="2819" max="2819" width="14.42578125" customWidth="1"/>
    <col min="2821" max="2821" width="14.5703125" customWidth="1"/>
    <col min="2823" max="2823" width="14" customWidth="1"/>
    <col min="2825" max="2825" width="14.140625" customWidth="1"/>
    <col min="2827" max="2827" width="13.140625" customWidth="1"/>
    <col min="2829" max="2829" width="13.7109375" customWidth="1"/>
    <col min="2830" max="2830" width="13.140625" customWidth="1"/>
    <col min="2831" max="2831" width="11.7109375" customWidth="1"/>
    <col min="2832" max="2832" width="13.7109375" customWidth="1"/>
    <col min="2833" max="2833" width="23.7109375" customWidth="1"/>
    <col min="2834" max="2834" width="14.5703125" customWidth="1"/>
    <col min="2835" max="2835" width="13" customWidth="1"/>
    <col min="3073" max="3073" width="14.85546875" customWidth="1"/>
    <col min="3074" max="3074" width="25.85546875" customWidth="1"/>
    <col min="3075" max="3075" width="14.42578125" customWidth="1"/>
    <col min="3077" max="3077" width="14.5703125" customWidth="1"/>
    <col min="3079" max="3079" width="14" customWidth="1"/>
    <col min="3081" max="3081" width="14.140625" customWidth="1"/>
    <col min="3083" max="3083" width="13.140625" customWidth="1"/>
    <col min="3085" max="3085" width="13.7109375" customWidth="1"/>
    <col min="3086" max="3086" width="13.140625" customWidth="1"/>
    <col min="3087" max="3087" width="11.7109375" customWidth="1"/>
    <col min="3088" max="3088" width="13.7109375" customWidth="1"/>
    <col min="3089" max="3089" width="23.7109375" customWidth="1"/>
    <col min="3090" max="3090" width="14.5703125" customWidth="1"/>
    <col min="3091" max="3091" width="13" customWidth="1"/>
    <col min="3329" max="3329" width="14.85546875" customWidth="1"/>
    <col min="3330" max="3330" width="25.85546875" customWidth="1"/>
    <col min="3331" max="3331" width="14.42578125" customWidth="1"/>
    <col min="3333" max="3333" width="14.5703125" customWidth="1"/>
    <col min="3335" max="3335" width="14" customWidth="1"/>
    <col min="3337" max="3337" width="14.140625" customWidth="1"/>
    <col min="3339" max="3339" width="13.140625" customWidth="1"/>
    <col min="3341" max="3341" width="13.7109375" customWidth="1"/>
    <col min="3342" max="3342" width="13.140625" customWidth="1"/>
    <col min="3343" max="3343" width="11.7109375" customWidth="1"/>
    <col min="3344" max="3344" width="13.7109375" customWidth="1"/>
    <col min="3345" max="3345" width="23.7109375" customWidth="1"/>
    <col min="3346" max="3346" width="14.5703125" customWidth="1"/>
    <col min="3347" max="3347" width="13" customWidth="1"/>
    <col min="3585" max="3585" width="14.85546875" customWidth="1"/>
    <col min="3586" max="3586" width="25.85546875" customWidth="1"/>
    <col min="3587" max="3587" width="14.42578125" customWidth="1"/>
    <col min="3589" max="3589" width="14.5703125" customWidth="1"/>
    <col min="3591" max="3591" width="14" customWidth="1"/>
    <col min="3593" max="3593" width="14.140625" customWidth="1"/>
    <col min="3595" max="3595" width="13.140625" customWidth="1"/>
    <col min="3597" max="3597" width="13.7109375" customWidth="1"/>
    <col min="3598" max="3598" width="13.140625" customWidth="1"/>
    <col min="3599" max="3599" width="11.7109375" customWidth="1"/>
    <col min="3600" max="3600" width="13.7109375" customWidth="1"/>
    <col min="3601" max="3601" width="23.7109375" customWidth="1"/>
    <col min="3602" max="3602" width="14.5703125" customWidth="1"/>
    <col min="3603" max="3603" width="13" customWidth="1"/>
    <col min="3841" max="3841" width="14.85546875" customWidth="1"/>
    <col min="3842" max="3842" width="25.85546875" customWidth="1"/>
    <col min="3843" max="3843" width="14.42578125" customWidth="1"/>
    <col min="3845" max="3845" width="14.5703125" customWidth="1"/>
    <col min="3847" max="3847" width="14" customWidth="1"/>
    <col min="3849" max="3849" width="14.140625" customWidth="1"/>
    <col min="3851" max="3851" width="13.140625" customWidth="1"/>
    <col min="3853" max="3853" width="13.7109375" customWidth="1"/>
    <col min="3854" max="3854" width="13.140625" customWidth="1"/>
    <col min="3855" max="3855" width="11.7109375" customWidth="1"/>
    <col min="3856" max="3856" width="13.7109375" customWidth="1"/>
    <col min="3857" max="3857" width="23.7109375" customWidth="1"/>
    <col min="3858" max="3858" width="14.5703125" customWidth="1"/>
    <col min="3859" max="3859" width="13" customWidth="1"/>
    <col min="4097" max="4097" width="14.85546875" customWidth="1"/>
    <col min="4098" max="4098" width="25.85546875" customWidth="1"/>
    <col min="4099" max="4099" width="14.42578125" customWidth="1"/>
    <col min="4101" max="4101" width="14.5703125" customWidth="1"/>
    <col min="4103" max="4103" width="14" customWidth="1"/>
    <col min="4105" max="4105" width="14.140625" customWidth="1"/>
    <col min="4107" max="4107" width="13.140625" customWidth="1"/>
    <col min="4109" max="4109" width="13.7109375" customWidth="1"/>
    <col min="4110" max="4110" width="13.140625" customWidth="1"/>
    <col min="4111" max="4111" width="11.7109375" customWidth="1"/>
    <col min="4112" max="4112" width="13.7109375" customWidth="1"/>
    <col min="4113" max="4113" width="23.7109375" customWidth="1"/>
    <col min="4114" max="4114" width="14.5703125" customWidth="1"/>
    <col min="4115" max="4115" width="13" customWidth="1"/>
    <col min="4353" max="4353" width="14.85546875" customWidth="1"/>
    <col min="4354" max="4354" width="25.85546875" customWidth="1"/>
    <col min="4355" max="4355" width="14.42578125" customWidth="1"/>
    <col min="4357" max="4357" width="14.5703125" customWidth="1"/>
    <col min="4359" max="4359" width="14" customWidth="1"/>
    <col min="4361" max="4361" width="14.140625" customWidth="1"/>
    <col min="4363" max="4363" width="13.140625" customWidth="1"/>
    <col min="4365" max="4365" width="13.7109375" customWidth="1"/>
    <col min="4366" max="4366" width="13.140625" customWidth="1"/>
    <col min="4367" max="4367" width="11.7109375" customWidth="1"/>
    <col min="4368" max="4368" width="13.7109375" customWidth="1"/>
    <col min="4369" max="4369" width="23.7109375" customWidth="1"/>
    <col min="4370" max="4370" width="14.5703125" customWidth="1"/>
    <col min="4371" max="4371" width="13" customWidth="1"/>
    <col min="4609" max="4609" width="14.85546875" customWidth="1"/>
    <col min="4610" max="4610" width="25.85546875" customWidth="1"/>
    <col min="4611" max="4611" width="14.42578125" customWidth="1"/>
    <col min="4613" max="4613" width="14.5703125" customWidth="1"/>
    <col min="4615" max="4615" width="14" customWidth="1"/>
    <col min="4617" max="4617" width="14.140625" customWidth="1"/>
    <col min="4619" max="4619" width="13.140625" customWidth="1"/>
    <col min="4621" max="4621" width="13.7109375" customWidth="1"/>
    <col min="4622" max="4622" width="13.140625" customWidth="1"/>
    <col min="4623" max="4623" width="11.7109375" customWidth="1"/>
    <col min="4624" max="4624" width="13.7109375" customWidth="1"/>
    <col min="4625" max="4625" width="23.7109375" customWidth="1"/>
    <col min="4626" max="4626" width="14.5703125" customWidth="1"/>
    <col min="4627" max="4627" width="13" customWidth="1"/>
    <col min="4865" max="4865" width="14.85546875" customWidth="1"/>
    <col min="4866" max="4866" width="25.85546875" customWidth="1"/>
    <col min="4867" max="4867" width="14.42578125" customWidth="1"/>
    <col min="4869" max="4869" width="14.5703125" customWidth="1"/>
    <col min="4871" max="4871" width="14" customWidth="1"/>
    <col min="4873" max="4873" width="14.140625" customWidth="1"/>
    <col min="4875" max="4875" width="13.140625" customWidth="1"/>
    <col min="4877" max="4877" width="13.7109375" customWidth="1"/>
    <col min="4878" max="4878" width="13.140625" customWidth="1"/>
    <col min="4879" max="4879" width="11.7109375" customWidth="1"/>
    <col min="4880" max="4880" width="13.7109375" customWidth="1"/>
    <col min="4881" max="4881" width="23.7109375" customWidth="1"/>
    <col min="4882" max="4882" width="14.5703125" customWidth="1"/>
    <col min="4883" max="4883" width="13" customWidth="1"/>
    <col min="5121" max="5121" width="14.85546875" customWidth="1"/>
    <col min="5122" max="5122" width="25.85546875" customWidth="1"/>
    <col min="5123" max="5123" width="14.42578125" customWidth="1"/>
    <col min="5125" max="5125" width="14.5703125" customWidth="1"/>
    <col min="5127" max="5127" width="14" customWidth="1"/>
    <col min="5129" max="5129" width="14.140625" customWidth="1"/>
    <col min="5131" max="5131" width="13.140625" customWidth="1"/>
    <col min="5133" max="5133" width="13.7109375" customWidth="1"/>
    <col min="5134" max="5134" width="13.140625" customWidth="1"/>
    <col min="5135" max="5135" width="11.7109375" customWidth="1"/>
    <col min="5136" max="5136" width="13.7109375" customWidth="1"/>
    <col min="5137" max="5137" width="23.7109375" customWidth="1"/>
    <col min="5138" max="5138" width="14.5703125" customWidth="1"/>
    <col min="5139" max="5139" width="13" customWidth="1"/>
    <col min="5377" max="5377" width="14.85546875" customWidth="1"/>
    <col min="5378" max="5378" width="25.85546875" customWidth="1"/>
    <col min="5379" max="5379" width="14.42578125" customWidth="1"/>
    <col min="5381" max="5381" width="14.5703125" customWidth="1"/>
    <col min="5383" max="5383" width="14" customWidth="1"/>
    <col min="5385" max="5385" width="14.140625" customWidth="1"/>
    <col min="5387" max="5387" width="13.140625" customWidth="1"/>
    <col min="5389" max="5389" width="13.7109375" customWidth="1"/>
    <col min="5390" max="5390" width="13.140625" customWidth="1"/>
    <col min="5391" max="5391" width="11.7109375" customWidth="1"/>
    <col min="5392" max="5392" width="13.7109375" customWidth="1"/>
    <col min="5393" max="5393" width="23.7109375" customWidth="1"/>
    <col min="5394" max="5394" width="14.5703125" customWidth="1"/>
    <col min="5395" max="5395" width="13" customWidth="1"/>
    <col min="5633" max="5633" width="14.85546875" customWidth="1"/>
    <col min="5634" max="5634" width="25.85546875" customWidth="1"/>
    <col min="5635" max="5635" width="14.42578125" customWidth="1"/>
    <col min="5637" max="5637" width="14.5703125" customWidth="1"/>
    <col min="5639" max="5639" width="14" customWidth="1"/>
    <col min="5641" max="5641" width="14.140625" customWidth="1"/>
    <col min="5643" max="5643" width="13.140625" customWidth="1"/>
    <col min="5645" max="5645" width="13.7109375" customWidth="1"/>
    <col min="5646" max="5646" width="13.140625" customWidth="1"/>
    <col min="5647" max="5647" width="11.7109375" customWidth="1"/>
    <col min="5648" max="5648" width="13.7109375" customWidth="1"/>
    <col min="5649" max="5649" width="23.7109375" customWidth="1"/>
    <col min="5650" max="5650" width="14.5703125" customWidth="1"/>
    <col min="5651" max="5651" width="13" customWidth="1"/>
    <col min="5889" max="5889" width="14.85546875" customWidth="1"/>
    <col min="5890" max="5890" width="25.85546875" customWidth="1"/>
    <col min="5891" max="5891" width="14.42578125" customWidth="1"/>
    <col min="5893" max="5893" width="14.5703125" customWidth="1"/>
    <col min="5895" max="5895" width="14" customWidth="1"/>
    <col min="5897" max="5897" width="14.140625" customWidth="1"/>
    <col min="5899" max="5899" width="13.140625" customWidth="1"/>
    <col min="5901" max="5901" width="13.7109375" customWidth="1"/>
    <col min="5902" max="5902" width="13.140625" customWidth="1"/>
    <col min="5903" max="5903" width="11.7109375" customWidth="1"/>
    <col min="5904" max="5904" width="13.7109375" customWidth="1"/>
    <col min="5905" max="5905" width="23.7109375" customWidth="1"/>
    <col min="5906" max="5906" width="14.5703125" customWidth="1"/>
    <col min="5907" max="5907" width="13" customWidth="1"/>
    <col min="6145" max="6145" width="14.85546875" customWidth="1"/>
    <col min="6146" max="6146" width="25.85546875" customWidth="1"/>
    <col min="6147" max="6147" width="14.42578125" customWidth="1"/>
    <col min="6149" max="6149" width="14.5703125" customWidth="1"/>
    <col min="6151" max="6151" width="14" customWidth="1"/>
    <col min="6153" max="6153" width="14.140625" customWidth="1"/>
    <col min="6155" max="6155" width="13.140625" customWidth="1"/>
    <col min="6157" max="6157" width="13.7109375" customWidth="1"/>
    <col min="6158" max="6158" width="13.140625" customWidth="1"/>
    <col min="6159" max="6159" width="11.7109375" customWidth="1"/>
    <col min="6160" max="6160" width="13.7109375" customWidth="1"/>
    <col min="6161" max="6161" width="23.7109375" customWidth="1"/>
    <col min="6162" max="6162" width="14.5703125" customWidth="1"/>
    <col min="6163" max="6163" width="13" customWidth="1"/>
    <col min="6401" max="6401" width="14.85546875" customWidth="1"/>
    <col min="6402" max="6402" width="25.85546875" customWidth="1"/>
    <col min="6403" max="6403" width="14.42578125" customWidth="1"/>
    <col min="6405" max="6405" width="14.5703125" customWidth="1"/>
    <col min="6407" max="6407" width="14" customWidth="1"/>
    <col min="6409" max="6409" width="14.140625" customWidth="1"/>
    <col min="6411" max="6411" width="13.140625" customWidth="1"/>
    <col min="6413" max="6413" width="13.7109375" customWidth="1"/>
    <col min="6414" max="6414" width="13.140625" customWidth="1"/>
    <col min="6415" max="6415" width="11.7109375" customWidth="1"/>
    <col min="6416" max="6416" width="13.7109375" customWidth="1"/>
    <col min="6417" max="6417" width="23.7109375" customWidth="1"/>
    <col min="6418" max="6418" width="14.5703125" customWidth="1"/>
    <col min="6419" max="6419" width="13" customWidth="1"/>
    <col min="6657" max="6657" width="14.85546875" customWidth="1"/>
    <col min="6658" max="6658" width="25.85546875" customWidth="1"/>
    <col min="6659" max="6659" width="14.42578125" customWidth="1"/>
    <col min="6661" max="6661" width="14.5703125" customWidth="1"/>
    <col min="6663" max="6663" width="14" customWidth="1"/>
    <col min="6665" max="6665" width="14.140625" customWidth="1"/>
    <col min="6667" max="6667" width="13.140625" customWidth="1"/>
    <col min="6669" max="6669" width="13.7109375" customWidth="1"/>
    <col min="6670" max="6670" width="13.140625" customWidth="1"/>
    <col min="6671" max="6671" width="11.7109375" customWidth="1"/>
    <col min="6672" max="6672" width="13.7109375" customWidth="1"/>
    <col min="6673" max="6673" width="23.7109375" customWidth="1"/>
    <col min="6674" max="6674" width="14.5703125" customWidth="1"/>
    <col min="6675" max="6675" width="13" customWidth="1"/>
    <col min="6913" max="6913" width="14.85546875" customWidth="1"/>
    <col min="6914" max="6914" width="25.85546875" customWidth="1"/>
    <col min="6915" max="6915" width="14.42578125" customWidth="1"/>
    <col min="6917" max="6917" width="14.5703125" customWidth="1"/>
    <col min="6919" max="6919" width="14" customWidth="1"/>
    <col min="6921" max="6921" width="14.140625" customWidth="1"/>
    <col min="6923" max="6923" width="13.140625" customWidth="1"/>
    <col min="6925" max="6925" width="13.7109375" customWidth="1"/>
    <col min="6926" max="6926" width="13.140625" customWidth="1"/>
    <col min="6927" max="6927" width="11.7109375" customWidth="1"/>
    <col min="6928" max="6928" width="13.7109375" customWidth="1"/>
    <col min="6929" max="6929" width="23.7109375" customWidth="1"/>
    <col min="6930" max="6930" width="14.5703125" customWidth="1"/>
    <col min="6931" max="6931" width="13" customWidth="1"/>
    <col min="7169" max="7169" width="14.85546875" customWidth="1"/>
    <col min="7170" max="7170" width="25.85546875" customWidth="1"/>
    <col min="7171" max="7171" width="14.42578125" customWidth="1"/>
    <col min="7173" max="7173" width="14.5703125" customWidth="1"/>
    <col min="7175" max="7175" width="14" customWidth="1"/>
    <col min="7177" max="7177" width="14.140625" customWidth="1"/>
    <col min="7179" max="7179" width="13.140625" customWidth="1"/>
    <col min="7181" max="7181" width="13.7109375" customWidth="1"/>
    <col min="7182" max="7182" width="13.140625" customWidth="1"/>
    <col min="7183" max="7183" width="11.7109375" customWidth="1"/>
    <col min="7184" max="7184" width="13.7109375" customWidth="1"/>
    <col min="7185" max="7185" width="23.7109375" customWidth="1"/>
    <col min="7186" max="7186" width="14.5703125" customWidth="1"/>
    <col min="7187" max="7187" width="13" customWidth="1"/>
    <col min="7425" max="7425" width="14.85546875" customWidth="1"/>
    <col min="7426" max="7426" width="25.85546875" customWidth="1"/>
    <col min="7427" max="7427" width="14.42578125" customWidth="1"/>
    <col min="7429" max="7429" width="14.5703125" customWidth="1"/>
    <col min="7431" max="7431" width="14" customWidth="1"/>
    <col min="7433" max="7433" width="14.140625" customWidth="1"/>
    <col min="7435" max="7435" width="13.140625" customWidth="1"/>
    <col min="7437" max="7437" width="13.7109375" customWidth="1"/>
    <col min="7438" max="7438" width="13.140625" customWidth="1"/>
    <col min="7439" max="7439" width="11.7109375" customWidth="1"/>
    <col min="7440" max="7440" width="13.7109375" customWidth="1"/>
    <col min="7441" max="7441" width="23.7109375" customWidth="1"/>
    <col min="7442" max="7442" width="14.5703125" customWidth="1"/>
    <col min="7443" max="7443" width="13" customWidth="1"/>
    <col min="7681" max="7681" width="14.85546875" customWidth="1"/>
    <col min="7682" max="7682" width="25.85546875" customWidth="1"/>
    <col min="7683" max="7683" width="14.42578125" customWidth="1"/>
    <col min="7685" max="7685" width="14.5703125" customWidth="1"/>
    <col min="7687" max="7687" width="14" customWidth="1"/>
    <col min="7689" max="7689" width="14.140625" customWidth="1"/>
    <col min="7691" max="7691" width="13.140625" customWidth="1"/>
    <col min="7693" max="7693" width="13.7109375" customWidth="1"/>
    <col min="7694" max="7694" width="13.140625" customWidth="1"/>
    <col min="7695" max="7695" width="11.7109375" customWidth="1"/>
    <col min="7696" max="7696" width="13.7109375" customWidth="1"/>
    <col min="7697" max="7697" width="23.7109375" customWidth="1"/>
    <col min="7698" max="7698" width="14.5703125" customWidth="1"/>
    <col min="7699" max="7699" width="13" customWidth="1"/>
    <col min="7937" max="7937" width="14.85546875" customWidth="1"/>
    <col min="7938" max="7938" width="25.85546875" customWidth="1"/>
    <col min="7939" max="7939" width="14.42578125" customWidth="1"/>
    <col min="7941" max="7941" width="14.5703125" customWidth="1"/>
    <col min="7943" max="7943" width="14" customWidth="1"/>
    <col min="7945" max="7945" width="14.140625" customWidth="1"/>
    <col min="7947" max="7947" width="13.140625" customWidth="1"/>
    <col min="7949" max="7949" width="13.7109375" customWidth="1"/>
    <col min="7950" max="7950" width="13.140625" customWidth="1"/>
    <col min="7951" max="7951" width="11.7109375" customWidth="1"/>
    <col min="7952" max="7952" width="13.7109375" customWidth="1"/>
    <col min="7953" max="7953" width="23.7109375" customWidth="1"/>
    <col min="7954" max="7954" width="14.5703125" customWidth="1"/>
    <col min="7955" max="7955" width="13" customWidth="1"/>
    <col min="8193" max="8193" width="14.85546875" customWidth="1"/>
    <col min="8194" max="8194" width="25.85546875" customWidth="1"/>
    <col min="8195" max="8195" width="14.42578125" customWidth="1"/>
    <col min="8197" max="8197" width="14.5703125" customWidth="1"/>
    <col min="8199" max="8199" width="14" customWidth="1"/>
    <col min="8201" max="8201" width="14.140625" customWidth="1"/>
    <col min="8203" max="8203" width="13.140625" customWidth="1"/>
    <col min="8205" max="8205" width="13.7109375" customWidth="1"/>
    <col min="8206" max="8206" width="13.140625" customWidth="1"/>
    <col min="8207" max="8207" width="11.7109375" customWidth="1"/>
    <col min="8208" max="8208" width="13.7109375" customWidth="1"/>
    <col min="8209" max="8209" width="23.7109375" customWidth="1"/>
    <col min="8210" max="8210" width="14.5703125" customWidth="1"/>
    <col min="8211" max="8211" width="13" customWidth="1"/>
    <col min="8449" max="8449" width="14.85546875" customWidth="1"/>
    <col min="8450" max="8450" width="25.85546875" customWidth="1"/>
    <col min="8451" max="8451" width="14.42578125" customWidth="1"/>
    <col min="8453" max="8453" width="14.5703125" customWidth="1"/>
    <col min="8455" max="8455" width="14" customWidth="1"/>
    <col min="8457" max="8457" width="14.140625" customWidth="1"/>
    <col min="8459" max="8459" width="13.140625" customWidth="1"/>
    <col min="8461" max="8461" width="13.7109375" customWidth="1"/>
    <col min="8462" max="8462" width="13.140625" customWidth="1"/>
    <col min="8463" max="8463" width="11.7109375" customWidth="1"/>
    <col min="8464" max="8464" width="13.7109375" customWidth="1"/>
    <col min="8465" max="8465" width="23.7109375" customWidth="1"/>
    <col min="8466" max="8466" width="14.5703125" customWidth="1"/>
    <col min="8467" max="8467" width="13" customWidth="1"/>
    <col min="8705" max="8705" width="14.85546875" customWidth="1"/>
    <col min="8706" max="8706" width="25.85546875" customWidth="1"/>
    <col min="8707" max="8707" width="14.42578125" customWidth="1"/>
    <col min="8709" max="8709" width="14.5703125" customWidth="1"/>
    <col min="8711" max="8711" width="14" customWidth="1"/>
    <col min="8713" max="8713" width="14.140625" customWidth="1"/>
    <col min="8715" max="8715" width="13.140625" customWidth="1"/>
    <col min="8717" max="8717" width="13.7109375" customWidth="1"/>
    <col min="8718" max="8718" width="13.140625" customWidth="1"/>
    <col min="8719" max="8719" width="11.7109375" customWidth="1"/>
    <col min="8720" max="8720" width="13.7109375" customWidth="1"/>
    <col min="8721" max="8721" width="23.7109375" customWidth="1"/>
    <col min="8722" max="8722" width="14.5703125" customWidth="1"/>
    <col min="8723" max="8723" width="13" customWidth="1"/>
    <col min="8961" max="8961" width="14.85546875" customWidth="1"/>
    <col min="8962" max="8962" width="25.85546875" customWidth="1"/>
    <col min="8963" max="8963" width="14.42578125" customWidth="1"/>
    <col min="8965" max="8965" width="14.5703125" customWidth="1"/>
    <col min="8967" max="8967" width="14" customWidth="1"/>
    <col min="8969" max="8969" width="14.140625" customWidth="1"/>
    <col min="8971" max="8971" width="13.140625" customWidth="1"/>
    <col min="8973" max="8973" width="13.7109375" customWidth="1"/>
    <col min="8974" max="8974" width="13.140625" customWidth="1"/>
    <col min="8975" max="8975" width="11.7109375" customWidth="1"/>
    <col min="8976" max="8976" width="13.7109375" customWidth="1"/>
    <col min="8977" max="8977" width="23.7109375" customWidth="1"/>
    <col min="8978" max="8978" width="14.5703125" customWidth="1"/>
    <col min="8979" max="8979" width="13" customWidth="1"/>
    <col min="9217" max="9217" width="14.85546875" customWidth="1"/>
    <col min="9218" max="9218" width="25.85546875" customWidth="1"/>
    <col min="9219" max="9219" width="14.42578125" customWidth="1"/>
    <col min="9221" max="9221" width="14.5703125" customWidth="1"/>
    <col min="9223" max="9223" width="14" customWidth="1"/>
    <col min="9225" max="9225" width="14.140625" customWidth="1"/>
    <col min="9227" max="9227" width="13.140625" customWidth="1"/>
    <col min="9229" max="9229" width="13.7109375" customWidth="1"/>
    <col min="9230" max="9230" width="13.140625" customWidth="1"/>
    <col min="9231" max="9231" width="11.7109375" customWidth="1"/>
    <col min="9232" max="9232" width="13.7109375" customWidth="1"/>
    <col min="9233" max="9233" width="23.7109375" customWidth="1"/>
    <col min="9234" max="9234" width="14.5703125" customWidth="1"/>
    <col min="9235" max="9235" width="13" customWidth="1"/>
    <col min="9473" max="9473" width="14.85546875" customWidth="1"/>
    <col min="9474" max="9474" width="25.85546875" customWidth="1"/>
    <col min="9475" max="9475" width="14.42578125" customWidth="1"/>
    <col min="9477" max="9477" width="14.5703125" customWidth="1"/>
    <col min="9479" max="9479" width="14" customWidth="1"/>
    <col min="9481" max="9481" width="14.140625" customWidth="1"/>
    <col min="9483" max="9483" width="13.140625" customWidth="1"/>
    <col min="9485" max="9485" width="13.7109375" customWidth="1"/>
    <col min="9486" max="9486" width="13.140625" customWidth="1"/>
    <col min="9487" max="9487" width="11.7109375" customWidth="1"/>
    <col min="9488" max="9488" width="13.7109375" customWidth="1"/>
    <col min="9489" max="9489" width="23.7109375" customWidth="1"/>
    <col min="9490" max="9490" width="14.5703125" customWidth="1"/>
    <col min="9491" max="9491" width="13" customWidth="1"/>
    <col min="9729" max="9729" width="14.85546875" customWidth="1"/>
    <col min="9730" max="9730" width="25.85546875" customWidth="1"/>
    <col min="9731" max="9731" width="14.42578125" customWidth="1"/>
    <col min="9733" max="9733" width="14.5703125" customWidth="1"/>
    <col min="9735" max="9735" width="14" customWidth="1"/>
    <col min="9737" max="9737" width="14.140625" customWidth="1"/>
    <col min="9739" max="9739" width="13.140625" customWidth="1"/>
    <col min="9741" max="9741" width="13.7109375" customWidth="1"/>
    <col min="9742" max="9742" width="13.140625" customWidth="1"/>
    <col min="9743" max="9743" width="11.7109375" customWidth="1"/>
    <col min="9744" max="9744" width="13.7109375" customWidth="1"/>
    <col min="9745" max="9745" width="23.7109375" customWidth="1"/>
    <col min="9746" max="9746" width="14.5703125" customWidth="1"/>
    <col min="9747" max="9747" width="13" customWidth="1"/>
    <col min="9985" max="9985" width="14.85546875" customWidth="1"/>
    <col min="9986" max="9986" width="25.85546875" customWidth="1"/>
    <col min="9987" max="9987" width="14.42578125" customWidth="1"/>
    <col min="9989" max="9989" width="14.5703125" customWidth="1"/>
    <col min="9991" max="9991" width="14" customWidth="1"/>
    <col min="9993" max="9993" width="14.140625" customWidth="1"/>
    <col min="9995" max="9995" width="13.140625" customWidth="1"/>
    <col min="9997" max="9997" width="13.7109375" customWidth="1"/>
    <col min="9998" max="9998" width="13.140625" customWidth="1"/>
    <col min="9999" max="9999" width="11.7109375" customWidth="1"/>
    <col min="10000" max="10000" width="13.7109375" customWidth="1"/>
    <col min="10001" max="10001" width="23.7109375" customWidth="1"/>
    <col min="10002" max="10002" width="14.5703125" customWidth="1"/>
    <col min="10003" max="10003" width="13" customWidth="1"/>
    <col min="10241" max="10241" width="14.85546875" customWidth="1"/>
    <col min="10242" max="10242" width="25.85546875" customWidth="1"/>
    <col min="10243" max="10243" width="14.42578125" customWidth="1"/>
    <col min="10245" max="10245" width="14.5703125" customWidth="1"/>
    <col min="10247" max="10247" width="14" customWidth="1"/>
    <col min="10249" max="10249" width="14.140625" customWidth="1"/>
    <col min="10251" max="10251" width="13.140625" customWidth="1"/>
    <col min="10253" max="10253" width="13.7109375" customWidth="1"/>
    <col min="10254" max="10254" width="13.140625" customWidth="1"/>
    <col min="10255" max="10255" width="11.7109375" customWidth="1"/>
    <col min="10256" max="10256" width="13.7109375" customWidth="1"/>
    <col min="10257" max="10257" width="23.7109375" customWidth="1"/>
    <col min="10258" max="10258" width="14.5703125" customWidth="1"/>
    <col min="10259" max="10259" width="13" customWidth="1"/>
    <col min="10497" max="10497" width="14.85546875" customWidth="1"/>
    <col min="10498" max="10498" width="25.85546875" customWidth="1"/>
    <col min="10499" max="10499" width="14.42578125" customWidth="1"/>
    <col min="10501" max="10501" width="14.5703125" customWidth="1"/>
    <col min="10503" max="10503" width="14" customWidth="1"/>
    <col min="10505" max="10505" width="14.140625" customWidth="1"/>
    <col min="10507" max="10507" width="13.140625" customWidth="1"/>
    <col min="10509" max="10509" width="13.7109375" customWidth="1"/>
    <col min="10510" max="10510" width="13.140625" customWidth="1"/>
    <col min="10511" max="10511" width="11.7109375" customWidth="1"/>
    <col min="10512" max="10512" width="13.7109375" customWidth="1"/>
    <col min="10513" max="10513" width="23.7109375" customWidth="1"/>
    <col min="10514" max="10514" width="14.5703125" customWidth="1"/>
    <col min="10515" max="10515" width="13" customWidth="1"/>
    <col min="10753" max="10753" width="14.85546875" customWidth="1"/>
    <col min="10754" max="10754" width="25.85546875" customWidth="1"/>
    <col min="10755" max="10755" width="14.42578125" customWidth="1"/>
    <col min="10757" max="10757" width="14.5703125" customWidth="1"/>
    <col min="10759" max="10759" width="14" customWidth="1"/>
    <col min="10761" max="10761" width="14.140625" customWidth="1"/>
    <col min="10763" max="10763" width="13.140625" customWidth="1"/>
    <col min="10765" max="10765" width="13.7109375" customWidth="1"/>
    <col min="10766" max="10766" width="13.140625" customWidth="1"/>
    <col min="10767" max="10767" width="11.7109375" customWidth="1"/>
    <col min="10768" max="10768" width="13.7109375" customWidth="1"/>
    <col min="10769" max="10769" width="23.7109375" customWidth="1"/>
    <col min="10770" max="10770" width="14.5703125" customWidth="1"/>
    <col min="10771" max="10771" width="13" customWidth="1"/>
    <col min="11009" max="11009" width="14.85546875" customWidth="1"/>
    <col min="11010" max="11010" width="25.85546875" customWidth="1"/>
    <col min="11011" max="11011" width="14.42578125" customWidth="1"/>
    <col min="11013" max="11013" width="14.5703125" customWidth="1"/>
    <col min="11015" max="11015" width="14" customWidth="1"/>
    <col min="11017" max="11017" width="14.140625" customWidth="1"/>
    <col min="11019" max="11019" width="13.140625" customWidth="1"/>
    <col min="11021" max="11021" width="13.7109375" customWidth="1"/>
    <col min="11022" max="11022" width="13.140625" customWidth="1"/>
    <col min="11023" max="11023" width="11.7109375" customWidth="1"/>
    <col min="11024" max="11024" width="13.7109375" customWidth="1"/>
    <col min="11025" max="11025" width="23.7109375" customWidth="1"/>
    <col min="11026" max="11026" width="14.5703125" customWidth="1"/>
    <col min="11027" max="11027" width="13" customWidth="1"/>
    <col min="11265" max="11265" width="14.85546875" customWidth="1"/>
    <col min="11266" max="11266" width="25.85546875" customWidth="1"/>
    <col min="11267" max="11267" width="14.42578125" customWidth="1"/>
    <col min="11269" max="11269" width="14.5703125" customWidth="1"/>
    <col min="11271" max="11271" width="14" customWidth="1"/>
    <col min="11273" max="11273" width="14.140625" customWidth="1"/>
    <col min="11275" max="11275" width="13.140625" customWidth="1"/>
    <col min="11277" max="11277" width="13.7109375" customWidth="1"/>
    <col min="11278" max="11278" width="13.140625" customWidth="1"/>
    <col min="11279" max="11279" width="11.7109375" customWidth="1"/>
    <col min="11280" max="11280" width="13.7109375" customWidth="1"/>
    <col min="11281" max="11281" width="23.7109375" customWidth="1"/>
    <col min="11282" max="11282" width="14.5703125" customWidth="1"/>
    <col min="11283" max="11283" width="13" customWidth="1"/>
    <col min="11521" max="11521" width="14.85546875" customWidth="1"/>
    <col min="11522" max="11522" width="25.85546875" customWidth="1"/>
    <col min="11523" max="11523" width="14.42578125" customWidth="1"/>
    <col min="11525" max="11525" width="14.5703125" customWidth="1"/>
    <col min="11527" max="11527" width="14" customWidth="1"/>
    <col min="11529" max="11529" width="14.140625" customWidth="1"/>
    <col min="11531" max="11531" width="13.140625" customWidth="1"/>
    <col min="11533" max="11533" width="13.7109375" customWidth="1"/>
    <col min="11534" max="11534" width="13.140625" customWidth="1"/>
    <col min="11535" max="11535" width="11.7109375" customWidth="1"/>
    <col min="11536" max="11536" width="13.7109375" customWidth="1"/>
    <col min="11537" max="11537" width="23.7109375" customWidth="1"/>
    <col min="11538" max="11538" width="14.5703125" customWidth="1"/>
    <col min="11539" max="11539" width="13" customWidth="1"/>
    <col min="11777" max="11777" width="14.85546875" customWidth="1"/>
    <col min="11778" max="11778" width="25.85546875" customWidth="1"/>
    <col min="11779" max="11779" width="14.42578125" customWidth="1"/>
    <col min="11781" max="11781" width="14.5703125" customWidth="1"/>
    <col min="11783" max="11783" width="14" customWidth="1"/>
    <col min="11785" max="11785" width="14.140625" customWidth="1"/>
    <col min="11787" max="11787" width="13.140625" customWidth="1"/>
    <col min="11789" max="11789" width="13.7109375" customWidth="1"/>
    <col min="11790" max="11790" width="13.140625" customWidth="1"/>
    <col min="11791" max="11791" width="11.7109375" customWidth="1"/>
    <col min="11792" max="11792" width="13.7109375" customWidth="1"/>
    <col min="11793" max="11793" width="23.7109375" customWidth="1"/>
    <col min="11794" max="11794" width="14.5703125" customWidth="1"/>
    <col min="11795" max="11795" width="13" customWidth="1"/>
    <col min="12033" max="12033" width="14.85546875" customWidth="1"/>
    <col min="12034" max="12034" width="25.85546875" customWidth="1"/>
    <col min="12035" max="12035" width="14.42578125" customWidth="1"/>
    <col min="12037" max="12037" width="14.5703125" customWidth="1"/>
    <col min="12039" max="12039" width="14" customWidth="1"/>
    <col min="12041" max="12041" width="14.140625" customWidth="1"/>
    <col min="12043" max="12043" width="13.140625" customWidth="1"/>
    <col min="12045" max="12045" width="13.7109375" customWidth="1"/>
    <col min="12046" max="12046" width="13.140625" customWidth="1"/>
    <col min="12047" max="12047" width="11.7109375" customWidth="1"/>
    <col min="12048" max="12048" width="13.7109375" customWidth="1"/>
    <col min="12049" max="12049" width="23.7109375" customWidth="1"/>
    <col min="12050" max="12050" width="14.5703125" customWidth="1"/>
    <col min="12051" max="12051" width="13" customWidth="1"/>
    <col min="12289" max="12289" width="14.85546875" customWidth="1"/>
    <col min="12290" max="12290" width="25.85546875" customWidth="1"/>
    <col min="12291" max="12291" width="14.42578125" customWidth="1"/>
    <col min="12293" max="12293" width="14.5703125" customWidth="1"/>
    <col min="12295" max="12295" width="14" customWidth="1"/>
    <col min="12297" max="12297" width="14.140625" customWidth="1"/>
    <col min="12299" max="12299" width="13.140625" customWidth="1"/>
    <col min="12301" max="12301" width="13.7109375" customWidth="1"/>
    <col min="12302" max="12302" width="13.140625" customWidth="1"/>
    <col min="12303" max="12303" width="11.7109375" customWidth="1"/>
    <col min="12304" max="12304" width="13.7109375" customWidth="1"/>
    <col min="12305" max="12305" width="23.7109375" customWidth="1"/>
    <col min="12306" max="12306" width="14.5703125" customWidth="1"/>
    <col min="12307" max="12307" width="13" customWidth="1"/>
    <col min="12545" max="12545" width="14.85546875" customWidth="1"/>
    <col min="12546" max="12546" width="25.85546875" customWidth="1"/>
    <col min="12547" max="12547" width="14.42578125" customWidth="1"/>
    <col min="12549" max="12549" width="14.5703125" customWidth="1"/>
    <col min="12551" max="12551" width="14" customWidth="1"/>
    <col min="12553" max="12553" width="14.140625" customWidth="1"/>
    <col min="12555" max="12555" width="13.140625" customWidth="1"/>
    <col min="12557" max="12557" width="13.7109375" customWidth="1"/>
    <col min="12558" max="12558" width="13.140625" customWidth="1"/>
    <col min="12559" max="12559" width="11.7109375" customWidth="1"/>
    <col min="12560" max="12560" width="13.7109375" customWidth="1"/>
    <col min="12561" max="12561" width="23.7109375" customWidth="1"/>
    <col min="12562" max="12562" width="14.5703125" customWidth="1"/>
    <col min="12563" max="12563" width="13" customWidth="1"/>
    <col min="12801" max="12801" width="14.85546875" customWidth="1"/>
    <col min="12802" max="12802" width="25.85546875" customWidth="1"/>
    <col min="12803" max="12803" width="14.42578125" customWidth="1"/>
    <col min="12805" max="12805" width="14.5703125" customWidth="1"/>
    <col min="12807" max="12807" width="14" customWidth="1"/>
    <col min="12809" max="12809" width="14.140625" customWidth="1"/>
    <col min="12811" max="12811" width="13.140625" customWidth="1"/>
    <col min="12813" max="12813" width="13.7109375" customWidth="1"/>
    <col min="12814" max="12814" width="13.140625" customWidth="1"/>
    <col min="12815" max="12815" width="11.7109375" customWidth="1"/>
    <col min="12816" max="12816" width="13.7109375" customWidth="1"/>
    <col min="12817" max="12817" width="23.7109375" customWidth="1"/>
    <col min="12818" max="12818" width="14.5703125" customWidth="1"/>
    <col min="12819" max="12819" width="13" customWidth="1"/>
    <col min="13057" max="13057" width="14.85546875" customWidth="1"/>
    <col min="13058" max="13058" width="25.85546875" customWidth="1"/>
    <col min="13059" max="13059" width="14.42578125" customWidth="1"/>
    <col min="13061" max="13061" width="14.5703125" customWidth="1"/>
    <col min="13063" max="13063" width="14" customWidth="1"/>
    <col min="13065" max="13065" width="14.140625" customWidth="1"/>
    <col min="13067" max="13067" width="13.140625" customWidth="1"/>
    <col min="13069" max="13069" width="13.7109375" customWidth="1"/>
    <col min="13070" max="13070" width="13.140625" customWidth="1"/>
    <col min="13071" max="13071" width="11.7109375" customWidth="1"/>
    <col min="13072" max="13072" width="13.7109375" customWidth="1"/>
    <col min="13073" max="13073" width="23.7109375" customWidth="1"/>
    <col min="13074" max="13074" width="14.5703125" customWidth="1"/>
    <col min="13075" max="13075" width="13" customWidth="1"/>
    <col min="13313" max="13313" width="14.85546875" customWidth="1"/>
    <col min="13314" max="13314" width="25.85546875" customWidth="1"/>
    <col min="13315" max="13315" width="14.42578125" customWidth="1"/>
    <col min="13317" max="13317" width="14.5703125" customWidth="1"/>
    <col min="13319" max="13319" width="14" customWidth="1"/>
    <col min="13321" max="13321" width="14.140625" customWidth="1"/>
    <col min="13323" max="13323" width="13.140625" customWidth="1"/>
    <col min="13325" max="13325" width="13.7109375" customWidth="1"/>
    <col min="13326" max="13326" width="13.140625" customWidth="1"/>
    <col min="13327" max="13327" width="11.7109375" customWidth="1"/>
    <col min="13328" max="13328" width="13.7109375" customWidth="1"/>
    <col min="13329" max="13329" width="23.7109375" customWidth="1"/>
    <col min="13330" max="13330" width="14.5703125" customWidth="1"/>
    <col min="13331" max="13331" width="13" customWidth="1"/>
    <col min="13569" max="13569" width="14.85546875" customWidth="1"/>
    <col min="13570" max="13570" width="25.85546875" customWidth="1"/>
    <col min="13571" max="13571" width="14.42578125" customWidth="1"/>
    <col min="13573" max="13573" width="14.5703125" customWidth="1"/>
    <col min="13575" max="13575" width="14" customWidth="1"/>
    <col min="13577" max="13577" width="14.140625" customWidth="1"/>
    <col min="13579" max="13579" width="13.140625" customWidth="1"/>
    <col min="13581" max="13581" width="13.7109375" customWidth="1"/>
    <col min="13582" max="13582" width="13.140625" customWidth="1"/>
    <col min="13583" max="13583" width="11.7109375" customWidth="1"/>
    <col min="13584" max="13584" width="13.7109375" customWidth="1"/>
    <col min="13585" max="13585" width="23.7109375" customWidth="1"/>
    <col min="13586" max="13586" width="14.5703125" customWidth="1"/>
    <col min="13587" max="13587" width="13" customWidth="1"/>
    <col min="13825" max="13825" width="14.85546875" customWidth="1"/>
    <col min="13826" max="13826" width="25.85546875" customWidth="1"/>
    <col min="13827" max="13827" width="14.42578125" customWidth="1"/>
    <col min="13829" max="13829" width="14.5703125" customWidth="1"/>
    <col min="13831" max="13831" width="14" customWidth="1"/>
    <col min="13833" max="13833" width="14.140625" customWidth="1"/>
    <col min="13835" max="13835" width="13.140625" customWidth="1"/>
    <col min="13837" max="13837" width="13.7109375" customWidth="1"/>
    <col min="13838" max="13838" width="13.140625" customWidth="1"/>
    <col min="13839" max="13839" width="11.7109375" customWidth="1"/>
    <col min="13840" max="13840" width="13.7109375" customWidth="1"/>
    <col min="13841" max="13841" width="23.7109375" customWidth="1"/>
    <col min="13842" max="13842" width="14.5703125" customWidth="1"/>
    <col min="13843" max="13843" width="13" customWidth="1"/>
    <col min="14081" max="14081" width="14.85546875" customWidth="1"/>
    <col min="14082" max="14082" width="25.85546875" customWidth="1"/>
    <col min="14083" max="14083" width="14.42578125" customWidth="1"/>
    <col min="14085" max="14085" width="14.5703125" customWidth="1"/>
    <col min="14087" max="14087" width="14" customWidth="1"/>
    <col min="14089" max="14089" width="14.140625" customWidth="1"/>
    <col min="14091" max="14091" width="13.140625" customWidth="1"/>
    <col min="14093" max="14093" width="13.7109375" customWidth="1"/>
    <col min="14094" max="14094" width="13.140625" customWidth="1"/>
    <col min="14095" max="14095" width="11.7109375" customWidth="1"/>
    <col min="14096" max="14096" width="13.7109375" customWidth="1"/>
    <col min="14097" max="14097" width="23.7109375" customWidth="1"/>
    <col min="14098" max="14098" width="14.5703125" customWidth="1"/>
    <col min="14099" max="14099" width="13" customWidth="1"/>
    <col min="14337" max="14337" width="14.85546875" customWidth="1"/>
    <col min="14338" max="14338" width="25.85546875" customWidth="1"/>
    <col min="14339" max="14339" width="14.42578125" customWidth="1"/>
    <col min="14341" max="14341" width="14.5703125" customWidth="1"/>
    <col min="14343" max="14343" width="14" customWidth="1"/>
    <col min="14345" max="14345" width="14.140625" customWidth="1"/>
    <col min="14347" max="14347" width="13.140625" customWidth="1"/>
    <col min="14349" max="14349" width="13.7109375" customWidth="1"/>
    <col min="14350" max="14350" width="13.140625" customWidth="1"/>
    <col min="14351" max="14351" width="11.7109375" customWidth="1"/>
    <col min="14352" max="14352" width="13.7109375" customWidth="1"/>
    <col min="14353" max="14353" width="23.7109375" customWidth="1"/>
    <col min="14354" max="14354" width="14.5703125" customWidth="1"/>
    <col min="14355" max="14355" width="13" customWidth="1"/>
    <col min="14593" max="14593" width="14.85546875" customWidth="1"/>
    <col min="14594" max="14594" width="25.85546875" customWidth="1"/>
    <col min="14595" max="14595" width="14.42578125" customWidth="1"/>
    <col min="14597" max="14597" width="14.5703125" customWidth="1"/>
    <col min="14599" max="14599" width="14" customWidth="1"/>
    <col min="14601" max="14601" width="14.140625" customWidth="1"/>
    <col min="14603" max="14603" width="13.140625" customWidth="1"/>
    <col min="14605" max="14605" width="13.7109375" customWidth="1"/>
    <col min="14606" max="14606" width="13.140625" customWidth="1"/>
    <col min="14607" max="14607" width="11.7109375" customWidth="1"/>
    <col min="14608" max="14608" width="13.7109375" customWidth="1"/>
    <col min="14609" max="14609" width="23.7109375" customWidth="1"/>
    <col min="14610" max="14610" width="14.5703125" customWidth="1"/>
    <col min="14611" max="14611" width="13" customWidth="1"/>
    <col min="14849" max="14849" width="14.85546875" customWidth="1"/>
    <col min="14850" max="14850" width="25.85546875" customWidth="1"/>
    <col min="14851" max="14851" width="14.42578125" customWidth="1"/>
    <col min="14853" max="14853" width="14.5703125" customWidth="1"/>
    <col min="14855" max="14855" width="14" customWidth="1"/>
    <col min="14857" max="14857" width="14.140625" customWidth="1"/>
    <col min="14859" max="14859" width="13.140625" customWidth="1"/>
    <col min="14861" max="14861" width="13.7109375" customWidth="1"/>
    <col min="14862" max="14862" width="13.140625" customWidth="1"/>
    <col min="14863" max="14863" width="11.7109375" customWidth="1"/>
    <col min="14864" max="14864" width="13.7109375" customWidth="1"/>
    <col min="14865" max="14865" width="23.7109375" customWidth="1"/>
    <col min="14866" max="14866" width="14.5703125" customWidth="1"/>
    <col min="14867" max="14867" width="13" customWidth="1"/>
    <col min="15105" max="15105" width="14.85546875" customWidth="1"/>
    <col min="15106" max="15106" width="25.85546875" customWidth="1"/>
    <col min="15107" max="15107" width="14.42578125" customWidth="1"/>
    <col min="15109" max="15109" width="14.5703125" customWidth="1"/>
    <col min="15111" max="15111" width="14" customWidth="1"/>
    <col min="15113" max="15113" width="14.140625" customWidth="1"/>
    <col min="15115" max="15115" width="13.140625" customWidth="1"/>
    <col min="15117" max="15117" width="13.7109375" customWidth="1"/>
    <col min="15118" max="15118" width="13.140625" customWidth="1"/>
    <col min="15119" max="15119" width="11.7109375" customWidth="1"/>
    <col min="15120" max="15120" width="13.7109375" customWidth="1"/>
    <col min="15121" max="15121" width="23.7109375" customWidth="1"/>
    <col min="15122" max="15122" width="14.5703125" customWidth="1"/>
    <col min="15123" max="15123" width="13" customWidth="1"/>
    <col min="15361" max="15361" width="14.85546875" customWidth="1"/>
    <col min="15362" max="15362" width="25.85546875" customWidth="1"/>
    <col min="15363" max="15363" width="14.42578125" customWidth="1"/>
    <col min="15365" max="15365" width="14.5703125" customWidth="1"/>
    <col min="15367" max="15367" width="14" customWidth="1"/>
    <col min="15369" max="15369" width="14.140625" customWidth="1"/>
    <col min="15371" max="15371" width="13.140625" customWidth="1"/>
    <col min="15373" max="15373" width="13.7109375" customWidth="1"/>
    <col min="15374" max="15374" width="13.140625" customWidth="1"/>
    <col min="15375" max="15375" width="11.7109375" customWidth="1"/>
    <col min="15376" max="15376" width="13.7109375" customWidth="1"/>
    <col min="15377" max="15377" width="23.7109375" customWidth="1"/>
    <col min="15378" max="15378" width="14.5703125" customWidth="1"/>
    <col min="15379" max="15379" width="13" customWidth="1"/>
    <col min="15617" max="15617" width="14.85546875" customWidth="1"/>
    <col min="15618" max="15618" width="25.85546875" customWidth="1"/>
    <col min="15619" max="15619" width="14.42578125" customWidth="1"/>
    <col min="15621" max="15621" width="14.5703125" customWidth="1"/>
    <col min="15623" max="15623" width="14" customWidth="1"/>
    <col min="15625" max="15625" width="14.140625" customWidth="1"/>
    <col min="15627" max="15627" width="13.140625" customWidth="1"/>
    <col min="15629" max="15629" width="13.7109375" customWidth="1"/>
    <col min="15630" max="15630" width="13.140625" customWidth="1"/>
    <col min="15631" max="15631" width="11.7109375" customWidth="1"/>
    <col min="15632" max="15632" width="13.7109375" customWidth="1"/>
    <col min="15633" max="15633" width="23.7109375" customWidth="1"/>
    <col min="15634" max="15634" width="14.5703125" customWidth="1"/>
    <col min="15635" max="15635" width="13" customWidth="1"/>
    <col min="15873" max="15873" width="14.85546875" customWidth="1"/>
    <col min="15874" max="15874" width="25.85546875" customWidth="1"/>
    <col min="15875" max="15875" width="14.42578125" customWidth="1"/>
    <col min="15877" max="15877" width="14.5703125" customWidth="1"/>
    <col min="15879" max="15879" width="14" customWidth="1"/>
    <col min="15881" max="15881" width="14.140625" customWidth="1"/>
    <col min="15883" max="15883" width="13.140625" customWidth="1"/>
    <col min="15885" max="15885" width="13.7109375" customWidth="1"/>
    <col min="15886" max="15886" width="13.140625" customWidth="1"/>
    <col min="15887" max="15887" width="11.7109375" customWidth="1"/>
    <col min="15888" max="15888" width="13.7109375" customWidth="1"/>
    <col min="15889" max="15889" width="23.7109375" customWidth="1"/>
    <col min="15890" max="15890" width="14.5703125" customWidth="1"/>
    <col min="15891" max="15891" width="13" customWidth="1"/>
    <col min="16129" max="16129" width="14.85546875" customWidth="1"/>
    <col min="16130" max="16130" width="25.85546875" customWidth="1"/>
    <col min="16131" max="16131" width="14.42578125" customWidth="1"/>
    <col min="16133" max="16133" width="14.5703125" customWidth="1"/>
    <col min="16135" max="16135" width="14" customWidth="1"/>
    <col min="16137" max="16137" width="14.140625" customWidth="1"/>
    <col min="16139" max="16139" width="13.140625" customWidth="1"/>
    <col min="16141" max="16141" width="13.7109375" customWidth="1"/>
    <col min="16142" max="16142" width="13.140625" customWidth="1"/>
    <col min="16143" max="16143" width="11.7109375" customWidth="1"/>
    <col min="16144" max="16144" width="13.7109375" customWidth="1"/>
    <col min="16145" max="16145" width="23.7109375" customWidth="1"/>
    <col min="16146" max="16146" width="14.5703125" customWidth="1"/>
    <col min="16147" max="16147" width="13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13</v>
      </c>
      <c r="B6">
        <v>1</v>
      </c>
      <c r="C6">
        <v>933.36585999999988</v>
      </c>
      <c r="D6">
        <v>1</v>
      </c>
      <c r="E6">
        <v>843.96283999999991</v>
      </c>
      <c r="F6">
        <v>1</v>
      </c>
      <c r="G6">
        <v>320.77443999999997</v>
      </c>
      <c r="H6">
        <v>1</v>
      </c>
      <c r="I6">
        <v>120.63683799999998</v>
      </c>
      <c r="J6">
        <v>3</v>
      </c>
      <c r="K6">
        <v>47.772199999999991</v>
      </c>
      <c r="L6">
        <v>2</v>
      </c>
      <c r="M6">
        <v>20.627264</v>
      </c>
      <c r="N6">
        <v>3</v>
      </c>
      <c r="O6">
        <v>9.0162813999999987</v>
      </c>
      <c r="P6" s="3">
        <f>(B6*C6)+(D6*E6)+(F6*G6)+(H6*I6)+(J6*K6)+(L6*M6)+(N6*O6)</f>
        <v>2430.3599501999997</v>
      </c>
      <c r="S6" s="21"/>
    </row>
    <row r="7" spans="1:19" x14ac:dyDescent="0.2">
      <c r="A7">
        <v>20000</v>
      </c>
      <c r="B7">
        <v>57</v>
      </c>
      <c r="C7">
        <v>933.36585999999988</v>
      </c>
      <c r="D7">
        <v>16</v>
      </c>
      <c r="E7">
        <v>843.96283999999991</v>
      </c>
      <c r="F7">
        <v>36</v>
      </c>
      <c r="G7">
        <v>320.77443999999997</v>
      </c>
      <c r="H7">
        <v>97</v>
      </c>
      <c r="I7">
        <v>120.63683799999998</v>
      </c>
      <c r="J7">
        <v>175</v>
      </c>
      <c r="K7">
        <v>47.772199999999991</v>
      </c>
      <c r="L7">
        <v>196</v>
      </c>
      <c r="M7">
        <v>20.627264</v>
      </c>
      <c r="N7">
        <v>166</v>
      </c>
      <c r="O7">
        <v>9.0162813999999987</v>
      </c>
      <c r="P7" s="3">
        <f t="shared" ref="P7:P24" si="0">(B7*C7)+(D7*E7)+(F7*G7)+(H7*I7)+(J7*K7)+(L7*M7)+(N7*O7)</f>
        <v>103854.69404239998</v>
      </c>
      <c r="S7" s="21"/>
    </row>
    <row r="8" spans="1:19" x14ac:dyDescent="0.2">
      <c r="A8">
        <v>30000</v>
      </c>
      <c r="B8">
        <v>33</v>
      </c>
      <c r="C8">
        <v>933.36585999999988</v>
      </c>
      <c r="D8">
        <v>22</v>
      </c>
      <c r="E8">
        <v>843.96283999999991</v>
      </c>
      <c r="F8">
        <v>38</v>
      </c>
      <c r="G8">
        <v>320.77443999999997</v>
      </c>
      <c r="H8">
        <v>79</v>
      </c>
      <c r="I8">
        <v>120.63683799999998</v>
      </c>
      <c r="J8">
        <v>158</v>
      </c>
      <c r="K8">
        <v>47.772199999999991</v>
      </c>
      <c r="L8">
        <v>175</v>
      </c>
      <c r="M8">
        <v>20.627264</v>
      </c>
      <c r="N8">
        <v>195</v>
      </c>
      <c r="O8">
        <v>9.0162813999999987</v>
      </c>
      <c r="P8" s="3">
        <f t="shared" si="0"/>
        <v>84003.948454999976</v>
      </c>
      <c r="S8" s="21"/>
    </row>
    <row r="9" spans="1:19" x14ac:dyDescent="0.2">
      <c r="A9">
        <v>40000</v>
      </c>
      <c r="B9">
        <v>27</v>
      </c>
      <c r="C9">
        <v>933.36585999999988</v>
      </c>
      <c r="D9">
        <v>22</v>
      </c>
      <c r="E9">
        <v>843.96283999999991</v>
      </c>
      <c r="F9">
        <v>40</v>
      </c>
      <c r="G9">
        <v>320.77443999999997</v>
      </c>
      <c r="H9">
        <v>88</v>
      </c>
      <c r="I9">
        <v>120.63683799999998</v>
      </c>
      <c r="J9">
        <v>211</v>
      </c>
      <c r="K9">
        <v>47.772199999999991</v>
      </c>
      <c r="L9">
        <v>269</v>
      </c>
      <c r="M9">
        <v>20.627264</v>
      </c>
      <c r="N9">
        <v>257</v>
      </c>
      <c r="O9">
        <v>9.0162813999999987</v>
      </c>
      <c r="P9" s="3">
        <f t="shared" si="0"/>
        <v>85160.932579800006</v>
      </c>
      <c r="S9" s="21"/>
    </row>
    <row r="10" spans="1:19" x14ac:dyDescent="0.2">
      <c r="A10">
        <v>50000</v>
      </c>
      <c r="B10">
        <v>12</v>
      </c>
      <c r="C10">
        <v>933.36585999999988</v>
      </c>
      <c r="D10">
        <v>19</v>
      </c>
      <c r="E10">
        <v>843.96283999999991</v>
      </c>
      <c r="F10">
        <v>49</v>
      </c>
      <c r="G10">
        <v>320.77443999999997</v>
      </c>
      <c r="H10">
        <v>98</v>
      </c>
      <c r="I10">
        <v>120.63683799999998</v>
      </c>
      <c r="J10">
        <v>226</v>
      </c>
      <c r="K10">
        <v>47.772199999999991</v>
      </c>
      <c r="L10">
        <v>249</v>
      </c>
      <c r="M10">
        <v>20.627264</v>
      </c>
      <c r="N10">
        <v>236</v>
      </c>
      <c r="O10">
        <v>9.0162813999999987</v>
      </c>
      <c r="P10" s="3">
        <f t="shared" si="0"/>
        <v>72836.590310399988</v>
      </c>
      <c r="S10" s="21"/>
    </row>
    <row r="11" spans="1:19" x14ac:dyDescent="0.2">
      <c r="A11">
        <v>60000</v>
      </c>
      <c r="B11">
        <v>10</v>
      </c>
      <c r="C11">
        <v>933.36585999999988</v>
      </c>
      <c r="D11">
        <v>22</v>
      </c>
      <c r="E11">
        <v>843.96283999999991</v>
      </c>
      <c r="F11">
        <v>27</v>
      </c>
      <c r="G11">
        <v>320.77443999999997</v>
      </c>
      <c r="H11">
        <v>84</v>
      </c>
      <c r="I11">
        <v>120.63683799999998</v>
      </c>
      <c r="J11">
        <v>181</v>
      </c>
      <c r="K11">
        <v>47.772199999999991</v>
      </c>
      <c r="L11">
        <v>230</v>
      </c>
      <c r="M11">
        <v>20.627264</v>
      </c>
      <c r="N11">
        <v>189</v>
      </c>
      <c r="O11">
        <v>9.0162813999999987</v>
      </c>
      <c r="P11" s="3">
        <f t="shared" si="0"/>
        <v>61790.361456599996</v>
      </c>
      <c r="S11" s="21"/>
    </row>
    <row r="12" spans="1:19" x14ac:dyDescent="0.2">
      <c r="A12">
        <v>70000</v>
      </c>
      <c r="B12">
        <v>4</v>
      </c>
      <c r="C12">
        <v>933.36585999999988</v>
      </c>
      <c r="D12">
        <v>5</v>
      </c>
      <c r="E12">
        <v>843.96283999999991</v>
      </c>
      <c r="F12">
        <v>23</v>
      </c>
      <c r="G12">
        <v>320.77443999999997</v>
      </c>
      <c r="H12">
        <v>74</v>
      </c>
      <c r="I12">
        <v>120.63683799999998</v>
      </c>
      <c r="J12">
        <v>151</v>
      </c>
      <c r="K12">
        <v>47.772199999999991</v>
      </c>
      <c r="L12">
        <v>189</v>
      </c>
      <c r="M12">
        <v>20.627264</v>
      </c>
      <c r="N12">
        <v>141</v>
      </c>
      <c r="O12">
        <v>9.0162813999999987</v>
      </c>
      <c r="P12" s="3">
        <f t="shared" si="0"/>
        <v>36641.666545399989</v>
      </c>
      <c r="Q12" s="3">
        <f t="shared" ref="Q12:Q22" si="1">Q13+P12</f>
        <v>220341.45757259996</v>
      </c>
      <c r="R12">
        <v>4447753</v>
      </c>
      <c r="S12" s="24">
        <f t="shared" ref="S12:S23" si="2">(Q12/R12)*100</f>
        <v>4.9539949177168783</v>
      </c>
    </row>
    <row r="13" spans="1:19" x14ac:dyDescent="0.2">
      <c r="A13">
        <v>80000</v>
      </c>
      <c r="B13">
        <v>5</v>
      </c>
      <c r="C13">
        <v>933.36585999999988</v>
      </c>
      <c r="D13">
        <v>7</v>
      </c>
      <c r="E13">
        <v>843.96283999999991</v>
      </c>
      <c r="F13">
        <v>21</v>
      </c>
      <c r="G13">
        <v>320.77443999999997</v>
      </c>
      <c r="H13">
        <v>55</v>
      </c>
      <c r="I13">
        <v>120.63683799999998</v>
      </c>
      <c r="J13">
        <v>139</v>
      </c>
      <c r="K13">
        <v>47.772199999999991</v>
      </c>
      <c r="L13">
        <v>141</v>
      </c>
      <c r="M13">
        <v>20.627264</v>
      </c>
      <c r="N13">
        <v>113</v>
      </c>
      <c r="O13">
        <v>9.0162813999999987</v>
      </c>
      <c r="P13" s="3">
        <f t="shared" si="0"/>
        <v>34513.4783322</v>
      </c>
      <c r="Q13" s="3">
        <f t="shared" si="1"/>
        <v>183699.79102719997</v>
      </c>
      <c r="R13">
        <v>4447753</v>
      </c>
      <c r="S13" s="24">
        <f t="shared" si="2"/>
        <v>4.1301706957917839</v>
      </c>
    </row>
    <row r="14" spans="1:19" x14ac:dyDescent="0.2">
      <c r="A14">
        <v>90000</v>
      </c>
      <c r="B14">
        <v>4</v>
      </c>
      <c r="C14">
        <v>933.36585999999988</v>
      </c>
      <c r="D14">
        <v>6</v>
      </c>
      <c r="E14">
        <v>843.96283999999991</v>
      </c>
      <c r="F14">
        <v>17</v>
      </c>
      <c r="G14">
        <v>320.77443999999997</v>
      </c>
      <c r="H14">
        <v>48</v>
      </c>
      <c r="I14">
        <v>120.63683799999998</v>
      </c>
      <c r="J14">
        <v>108</v>
      </c>
      <c r="K14">
        <v>47.772199999999991</v>
      </c>
      <c r="L14">
        <v>121</v>
      </c>
      <c r="M14">
        <v>20.627264</v>
      </c>
      <c r="N14">
        <v>84</v>
      </c>
      <c r="O14">
        <v>9.0162813999999987</v>
      </c>
      <c r="P14" s="3">
        <f t="shared" si="0"/>
        <v>28453.6383656</v>
      </c>
      <c r="Q14" s="3">
        <f t="shared" si="1"/>
        <v>149186.31269499997</v>
      </c>
      <c r="R14">
        <v>4447753</v>
      </c>
      <c r="S14" s="24">
        <f t="shared" si="2"/>
        <v>3.3541950889584013</v>
      </c>
    </row>
    <row r="15" spans="1:19" x14ac:dyDescent="0.2">
      <c r="A15">
        <v>100000</v>
      </c>
      <c r="B15">
        <v>2</v>
      </c>
      <c r="C15">
        <v>933.36585999999988</v>
      </c>
      <c r="D15">
        <v>2</v>
      </c>
      <c r="E15">
        <v>843.96283999999991</v>
      </c>
      <c r="F15">
        <v>24</v>
      </c>
      <c r="G15">
        <v>320.77443999999997</v>
      </c>
      <c r="H15">
        <v>63</v>
      </c>
      <c r="I15">
        <v>120.63683799999998</v>
      </c>
      <c r="J15">
        <v>172</v>
      </c>
      <c r="K15">
        <v>47.772199999999991</v>
      </c>
      <c r="L15">
        <v>184</v>
      </c>
      <c r="M15">
        <v>20.627264</v>
      </c>
      <c r="N15">
        <v>126</v>
      </c>
      <c r="O15">
        <v>9.0162813999999987</v>
      </c>
      <c r="P15" s="3">
        <f t="shared" si="0"/>
        <v>32001.651186399999</v>
      </c>
      <c r="Q15" s="3">
        <f t="shared" si="1"/>
        <v>120732.67432939998</v>
      </c>
      <c r="R15">
        <v>4447753</v>
      </c>
      <c r="S15" s="24">
        <f t="shared" si="2"/>
        <v>2.7144644572079426</v>
      </c>
    </row>
    <row r="16" spans="1:19" x14ac:dyDescent="0.2">
      <c r="A16">
        <v>120000</v>
      </c>
      <c r="B16">
        <v>3</v>
      </c>
      <c r="C16">
        <v>933.36585999999988</v>
      </c>
      <c r="D16">
        <v>3</v>
      </c>
      <c r="E16">
        <v>843.96283999999991</v>
      </c>
      <c r="F16">
        <v>20</v>
      </c>
      <c r="G16">
        <v>320.77443999999997</v>
      </c>
      <c r="H16">
        <v>40</v>
      </c>
      <c r="I16">
        <v>120.63683799999998</v>
      </c>
      <c r="J16">
        <v>108</v>
      </c>
      <c r="K16">
        <v>47.772199999999991</v>
      </c>
      <c r="L16">
        <v>118</v>
      </c>
      <c r="M16">
        <v>20.627264</v>
      </c>
      <c r="N16">
        <v>108</v>
      </c>
      <c r="O16">
        <v>9.0162813999999987</v>
      </c>
      <c r="P16" s="3">
        <f t="shared" si="0"/>
        <v>25140.121563199998</v>
      </c>
      <c r="Q16" s="3">
        <f t="shared" si="1"/>
        <v>88731.023142999984</v>
      </c>
      <c r="R16">
        <v>4447753</v>
      </c>
      <c r="S16" s="24">
        <f t="shared" si="2"/>
        <v>1.9949629204454471</v>
      </c>
    </row>
    <row r="17" spans="1:19" x14ac:dyDescent="0.2">
      <c r="A17">
        <v>140000</v>
      </c>
      <c r="B17">
        <v>3</v>
      </c>
      <c r="C17">
        <v>933.36585999999988</v>
      </c>
      <c r="D17">
        <v>3</v>
      </c>
      <c r="E17">
        <v>843.96283999999991</v>
      </c>
      <c r="F17">
        <v>5</v>
      </c>
      <c r="G17">
        <v>320.77443999999997</v>
      </c>
      <c r="H17">
        <v>44</v>
      </c>
      <c r="I17">
        <v>120.63683799999998</v>
      </c>
      <c r="J17">
        <v>80</v>
      </c>
      <c r="K17">
        <v>47.772199999999991</v>
      </c>
      <c r="L17">
        <v>102</v>
      </c>
      <c r="M17">
        <v>20.627264</v>
      </c>
      <c r="N17">
        <v>70</v>
      </c>
      <c r="O17">
        <v>9.0162813999999987</v>
      </c>
      <c r="P17" s="3">
        <f t="shared" si="0"/>
        <v>18800.775797999995</v>
      </c>
      <c r="Q17" s="3">
        <f t="shared" si="1"/>
        <v>63590.901579799982</v>
      </c>
      <c r="R17">
        <v>4447753</v>
      </c>
      <c r="S17" s="24">
        <f t="shared" si="2"/>
        <v>1.429730958077033</v>
      </c>
    </row>
    <row r="18" spans="1:19" x14ac:dyDescent="0.2">
      <c r="A18">
        <v>160000</v>
      </c>
      <c r="B18">
        <v>0</v>
      </c>
      <c r="C18">
        <v>933.36585999999988</v>
      </c>
      <c r="D18">
        <v>2</v>
      </c>
      <c r="E18">
        <v>843.96283999999991</v>
      </c>
      <c r="F18">
        <v>6</v>
      </c>
      <c r="G18">
        <v>320.77443999999997</v>
      </c>
      <c r="H18">
        <v>28</v>
      </c>
      <c r="I18">
        <v>120.63683799999998</v>
      </c>
      <c r="J18">
        <v>61</v>
      </c>
      <c r="K18">
        <v>47.772199999999991</v>
      </c>
      <c r="L18">
        <v>69</v>
      </c>
      <c r="M18">
        <v>20.627264</v>
      </c>
      <c r="N18">
        <v>42</v>
      </c>
      <c r="O18">
        <v>9.0162813999999987</v>
      </c>
      <c r="P18" s="3">
        <f t="shared" si="0"/>
        <v>11706.473018799998</v>
      </c>
      <c r="Q18" s="3">
        <f t="shared" si="1"/>
        <v>44790.125781799987</v>
      </c>
      <c r="R18">
        <v>4447753</v>
      </c>
      <c r="S18" s="24">
        <f t="shared" si="2"/>
        <v>1.007028173142708</v>
      </c>
    </row>
    <row r="19" spans="1:19" x14ac:dyDescent="0.2">
      <c r="A19">
        <v>180000</v>
      </c>
      <c r="C19">
        <v>933.36585999999988</v>
      </c>
      <c r="D19">
        <v>0</v>
      </c>
      <c r="E19">
        <v>843.96283999999991</v>
      </c>
      <c r="F19">
        <v>4</v>
      </c>
      <c r="G19">
        <v>320.77443999999997</v>
      </c>
      <c r="H19">
        <v>21</v>
      </c>
      <c r="I19">
        <v>120.63683799999998</v>
      </c>
      <c r="J19">
        <v>37</v>
      </c>
      <c r="K19">
        <v>47.772199999999998</v>
      </c>
      <c r="L19">
        <v>46</v>
      </c>
      <c r="M19">
        <v>20.627264</v>
      </c>
      <c r="N19">
        <v>36</v>
      </c>
      <c r="O19">
        <v>9.0162813999999987</v>
      </c>
      <c r="P19" s="3">
        <f t="shared" si="0"/>
        <v>6857.4830323999995</v>
      </c>
      <c r="Q19" s="3">
        <f t="shared" si="1"/>
        <v>33083.652762999991</v>
      </c>
      <c r="R19">
        <v>4447753</v>
      </c>
      <c r="S19" s="24">
        <f t="shared" si="2"/>
        <v>0.74382846266418101</v>
      </c>
    </row>
    <row r="20" spans="1:19" x14ac:dyDescent="0.2">
      <c r="A20">
        <v>200000</v>
      </c>
      <c r="C20">
        <v>933.36585999999988</v>
      </c>
      <c r="D20">
        <v>3</v>
      </c>
      <c r="E20">
        <v>843.96283999999991</v>
      </c>
      <c r="F20">
        <v>13</v>
      </c>
      <c r="G20">
        <v>320.77443999999997</v>
      </c>
      <c r="H20">
        <v>46</v>
      </c>
      <c r="I20">
        <v>120.63683799999998</v>
      </c>
      <c r="J20">
        <v>118</v>
      </c>
      <c r="K20">
        <v>47.772199999999998</v>
      </c>
      <c r="L20">
        <v>126</v>
      </c>
      <c r="M20">
        <v>20.627264</v>
      </c>
      <c r="N20">
        <v>112</v>
      </c>
      <c r="O20">
        <v>9.0162813999999987</v>
      </c>
      <c r="P20" s="3">
        <f t="shared" si="0"/>
        <v>21497.229168799993</v>
      </c>
      <c r="Q20" s="3">
        <f t="shared" si="1"/>
        <v>26226.169730599991</v>
      </c>
      <c r="R20">
        <v>4447753</v>
      </c>
      <c r="S20" s="24">
        <f t="shared" si="2"/>
        <v>0.58964986883489234</v>
      </c>
    </row>
    <row r="21" spans="1:19" x14ac:dyDescent="0.2">
      <c r="A21">
        <v>350000</v>
      </c>
      <c r="C21">
        <v>933.36585999999988</v>
      </c>
      <c r="E21">
        <v>843.96283999999991</v>
      </c>
      <c r="F21">
        <v>2</v>
      </c>
      <c r="G21">
        <v>320.77443999999997</v>
      </c>
      <c r="H21">
        <v>6</v>
      </c>
      <c r="I21">
        <v>120.63683799999998</v>
      </c>
      <c r="J21">
        <v>15</v>
      </c>
      <c r="K21">
        <v>47.772199999999998</v>
      </c>
      <c r="L21">
        <v>28</v>
      </c>
      <c r="M21">
        <v>20.627264</v>
      </c>
      <c r="N21">
        <v>19</v>
      </c>
      <c r="O21">
        <v>9.0162813999999987</v>
      </c>
      <c r="P21" s="3">
        <f t="shared" si="0"/>
        <v>2830.8256465999998</v>
      </c>
      <c r="Q21" s="3">
        <f t="shared" si="1"/>
        <v>4728.9405618000001</v>
      </c>
      <c r="R21">
        <v>4447753</v>
      </c>
      <c r="S21" s="24">
        <f t="shared" si="2"/>
        <v>0.10632201387532086</v>
      </c>
    </row>
    <row r="22" spans="1:19" x14ac:dyDescent="0.2">
      <c r="A22">
        <v>500000</v>
      </c>
      <c r="C22">
        <v>933.36585999999988</v>
      </c>
      <c r="E22">
        <v>843.96283999999991</v>
      </c>
      <c r="F22">
        <v>1</v>
      </c>
      <c r="G22">
        <v>320.77443999999997</v>
      </c>
      <c r="H22">
        <v>2</v>
      </c>
      <c r="I22">
        <v>120.63683799999998</v>
      </c>
      <c r="J22">
        <v>12</v>
      </c>
      <c r="K22">
        <v>47.772199999999998</v>
      </c>
      <c r="L22">
        <v>11</v>
      </c>
      <c r="M22">
        <v>20.627264</v>
      </c>
      <c r="N22">
        <v>15</v>
      </c>
      <c r="O22">
        <v>9.0162813999999987</v>
      </c>
      <c r="P22" s="3">
        <f t="shared" si="0"/>
        <v>1497.4586409999997</v>
      </c>
      <c r="Q22" s="3">
        <f t="shared" si="1"/>
        <v>1898.1149151999998</v>
      </c>
      <c r="R22">
        <v>4447753</v>
      </c>
      <c r="S22" s="24">
        <f t="shared" si="2"/>
        <v>4.2675816647192409E-2</v>
      </c>
    </row>
    <row r="23" spans="1:19" x14ac:dyDescent="0.2">
      <c r="A23" t="s">
        <v>12</v>
      </c>
      <c r="C23">
        <v>933.36585999999988</v>
      </c>
      <c r="E23">
        <v>843.96283999999991</v>
      </c>
      <c r="G23">
        <v>320.77443999999997</v>
      </c>
      <c r="H23">
        <v>1</v>
      </c>
      <c r="I23">
        <v>120.63683799999998</v>
      </c>
      <c r="J23">
        <v>4</v>
      </c>
      <c r="K23">
        <v>47.772199999999998</v>
      </c>
      <c r="L23">
        <v>3</v>
      </c>
      <c r="M23">
        <v>20.627264</v>
      </c>
      <c r="N23">
        <v>3</v>
      </c>
      <c r="O23">
        <v>9.0162813999999987</v>
      </c>
      <c r="P23" s="3">
        <f t="shared" si="0"/>
        <v>400.65627420000004</v>
      </c>
      <c r="Q23" s="3">
        <f>P23</f>
        <v>400.65627420000004</v>
      </c>
      <c r="R23">
        <v>4447753</v>
      </c>
      <c r="S23" s="24">
        <f t="shared" si="2"/>
        <v>9.0080603441782866E-3</v>
      </c>
    </row>
    <row r="24" spans="1:19" x14ac:dyDescent="0.2">
      <c r="A24" t="s">
        <v>3</v>
      </c>
      <c r="B24">
        <v>161</v>
      </c>
      <c r="C24">
        <v>933.36585999999988</v>
      </c>
      <c r="D24">
        <v>133</v>
      </c>
      <c r="E24">
        <v>843.96283999999991</v>
      </c>
      <c r="F24">
        <v>327</v>
      </c>
      <c r="G24">
        <v>320.77443999999997</v>
      </c>
      <c r="H24">
        <v>875</v>
      </c>
      <c r="I24">
        <v>120.63683799999998</v>
      </c>
      <c r="J24">
        <v>1959</v>
      </c>
      <c r="K24">
        <v>47.772199999999998</v>
      </c>
      <c r="L24">
        <v>2259</v>
      </c>
      <c r="M24">
        <v>20.627264</v>
      </c>
      <c r="N24">
        <v>1915</v>
      </c>
      <c r="O24">
        <v>9.0162813999999987</v>
      </c>
      <c r="P24" s="3">
        <f t="shared" si="0"/>
        <v>630418.34436700004</v>
      </c>
    </row>
    <row r="28" spans="1:19" ht="15" x14ac:dyDescent="0.25">
      <c r="A28" s="2" t="s">
        <v>24</v>
      </c>
    </row>
    <row r="29" spans="1:19" x14ac:dyDescent="0.2">
      <c r="G29" t="s">
        <v>25</v>
      </c>
    </row>
    <row r="30" spans="1:19" x14ac:dyDescent="0.2">
      <c r="B30" s="4"/>
    </row>
    <row r="31" spans="1:19" ht="15" x14ac:dyDescent="0.25">
      <c r="A31" s="5" t="s">
        <v>26</v>
      </c>
      <c r="B31" s="1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75</v>
      </c>
      <c r="B32" s="14">
        <v>5.0000000000000001E-4</v>
      </c>
      <c r="C32" s="25">
        <f>S22/100</f>
        <v>4.2675816647192409E-4</v>
      </c>
      <c r="D32">
        <f>S21/100</f>
        <v>1.0632201387532087E-3</v>
      </c>
      <c r="E32">
        <v>500000</v>
      </c>
      <c r="F32">
        <v>350000</v>
      </c>
      <c r="G32">
        <f t="shared" ref="G32:G37" si="3">D32/C32</f>
        <v>2.4913879154159235</v>
      </c>
      <c r="H32">
        <f t="shared" ref="H32:H37" si="4">LN(G32)</f>
        <v>0.91283995093867409</v>
      </c>
      <c r="I32">
        <f t="shared" ref="I32:I37" si="5">E32/F32</f>
        <v>1.4285714285714286</v>
      </c>
      <c r="J32">
        <f t="shared" ref="J32:J37" si="6">LN(I32)</f>
        <v>0.35667494393873239</v>
      </c>
      <c r="K32" s="4">
        <f t="shared" ref="K32:K37" si="7">H32/J32</f>
        <v>2.5593049538559023</v>
      </c>
      <c r="L32" s="4">
        <f t="shared" ref="L32:L37" si="8">F32*POWER(D32,1/K32)</f>
        <v>24114.446643368123</v>
      </c>
      <c r="M32" s="20">
        <f t="shared" ref="M32:M37" si="9">POWER(B32,1/K32)</f>
        <v>5.1307986295755496E-2</v>
      </c>
      <c r="N32" s="8">
        <f t="shared" ref="N32:N37" si="10">L32/M32</f>
        <v>469994.01817028655</v>
      </c>
      <c r="O32" s="5">
        <f>R23</f>
        <v>4447753</v>
      </c>
      <c r="P32" s="8">
        <f>O32*(K32/(1-K32))*POWER(L32,K32)*(-1)*POWER(N32,1-K32)</f>
        <v>1715512847.3390326</v>
      </c>
      <c r="Q32" s="9">
        <f t="shared" ref="Q32:Q37" si="11">B32*O32</f>
        <v>2223.8764999999999</v>
      </c>
      <c r="R32" s="8">
        <f t="shared" ref="R32:R37" si="12">P32/Q32</f>
        <v>771406.52699870372</v>
      </c>
      <c r="S32" s="4">
        <f t="shared" ref="S32:S37" si="13">P32*4.2116*1.23</f>
        <v>8886816306.6592751</v>
      </c>
    </row>
    <row r="33" spans="1:19" x14ac:dyDescent="0.2">
      <c r="A33" t="s">
        <v>75</v>
      </c>
      <c r="B33" s="14">
        <v>1E-3</v>
      </c>
      <c r="C33" s="25">
        <f>S22/100</f>
        <v>4.2675816647192409E-4</v>
      </c>
      <c r="D33">
        <f>S21/100</f>
        <v>1.0632201387532087E-3</v>
      </c>
      <c r="E33">
        <v>500000</v>
      </c>
      <c r="F33">
        <v>350000</v>
      </c>
      <c r="G33">
        <f t="shared" si="3"/>
        <v>2.4913879154159235</v>
      </c>
      <c r="H33">
        <f t="shared" si="4"/>
        <v>0.91283995093867409</v>
      </c>
      <c r="I33">
        <f t="shared" si="5"/>
        <v>1.4285714285714286</v>
      </c>
      <c r="J33">
        <f t="shared" si="6"/>
        <v>0.35667494393873239</v>
      </c>
      <c r="K33" s="4">
        <f t="shared" si="7"/>
        <v>2.5593049538559023</v>
      </c>
      <c r="L33" s="4">
        <f t="shared" si="8"/>
        <v>24114.446643368123</v>
      </c>
      <c r="M33" s="20">
        <f t="shared" si="9"/>
        <v>6.7267726031937661E-2</v>
      </c>
      <c r="N33" s="8">
        <f t="shared" si="10"/>
        <v>358484.64138536452</v>
      </c>
      <c r="O33" s="5">
        <v>4447753</v>
      </c>
      <c r="P33" s="8">
        <f>O33*(K33/(1-K33))*POWER(L33,K33)*(POWER(N32,1-K33)-POWER(N33,1-K33))+P32</f>
        <v>2616990787.5189142</v>
      </c>
      <c r="Q33" s="9">
        <f t="shared" si="11"/>
        <v>4447.7529999999997</v>
      </c>
      <c r="R33" s="8">
        <f t="shared" si="12"/>
        <v>588384.91874861636</v>
      </c>
      <c r="S33" s="4">
        <f t="shared" si="13"/>
        <v>13556713632.87903</v>
      </c>
    </row>
    <row r="34" spans="1:19" x14ac:dyDescent="0.2">
      <c r="A34" t="s">
        <v>76</v>
      </c>
      <c r="B34" s="14">
        <v>2.5000000000000001E-3</v>
      </c>
      <c r="C34">
        <f>S21/100</f>
        <v>1.0632201387532087E-3</v>
      </c>
      <c r="D34">
        <f>S20/100</f>
        <v>5.896498688348923E-3</v>
      </c>
      <c r="E34">
        <v>350000</v>
      </c>
      <c r="F34">
        <v>200000</v>
      </c>
      <c r="G34">
        <f t="shared" si="3"/>
        <v>5.5458869461064637</v>
      </c>
      <c r="H34">
        <f t="shared" si="4"/>
        <v>1.7130565622231859</v>
      </c>
      <c r="I34">
        <f t="shared" si="5"/>
        <v>1.75</v>
      </c>
      <c r="J34">
        <f t="shared" si="6"/>
        <v>0.55961578793542266</v>
      </c>
      <c r="K34" s="4">
        <f t="shared" si="7"/>
        <v>3.0611297950387089</v>
      </c>
      <c r="L34" s="4">
        <f t="shared" si="8"/>
        <v>37388.230164675326</v>
      </c>
      <c r="M34" s="20">
        <f t="shared" si="9"/>
        <v>0.14124316527299624</v>
      </c>
      <c r="N34" s="8">
        <f t="shared" si="10"/>
        <v>264708.24335047271</v>
      </c>
      <c r="O34" s="5">
        <v>4447753</v>
      </c>
      <c r="P34" s="8">
        <f>O34*(K34/(1-K34))*POWER(L34,K34)*(POWER(N33,1-K34)-POWER(N34,1-K34))+P33</f>
        <v>4648692141.6984205</v>
      </c>
      <c r="Q34" s="9">
        <f t="shared" si="11"/>
        <v>11119.3825</v>
      </c>
      <c r="R34" s="8">
        <f t="shared" si="12"/>
        <v>418071.07019642688</v>
      </c>
      <c r="S34" s="4">
        <f t="shared" si="13"/>
        <v>24081471143.491791</v>
      </c>
    </row>
    <row r="35" spans="1:19" x14ac:dyDescent="0.2">
      <c r="A35" t="s">
        <v>76</v>
      </c>
      <c r="B35" s="14">
        <v>5.0000000000000001E-3</v>
      </c>
      <c r="C35">
        <f>S21/100</f>
        <v>1.0632201387532087E-3</v>
      </c>
      <c r="D35">
        <f>S20/100</f>
        <v>5.896498688348923E-3</v>
      </c>
      <c r="E35">
        <v>350000</v>
      </c>
      <c r="F35">
        <v>200000</v>
      </c>
      <c r="G35">
        <f t="shared" si="3"/>
        <v>5.5458869461064637</v>
      </c>
      <c r="H35">
        <f t="shared" si="4"/>
        <v>1.7130565622231859</v>
      </c>
      <c r="I35">
        <f t="shared" si="5"/>
        <v>1.75</v>
      </c>
      <c r="J35">
        <f t="shared" si="6"/>
        <v>0.55961578793542266</v>
      </c>
      <c r="K35" s="4">
        <f t="shared" si="7"/>
        <v>3.0611297950387089</v>
      </c>
      <c r="L35" s="4">
        <f t="shared" si="8"/>
        <v>37388.230164675326</v>
      </c>
      <c r="M35" s="20">
        <f t="shared" si="9"/>
        <v>0.17713604707049938</v>
      </c>
      <c r="N35" s="8">
        <f t="shared" si="10"/>
        <v>211070.70403233607</v>
      </c>
      <c r="O35" s="5">
        <v>4447753</v>
      </c>
      <c r="P35" s="8">
        <f>O35*(K35/(1-K35))*POWER(L35,K35)*(POWER(N34,1-K35)-POWER(N35,1-K35))+P34</f>
        <v>7248572115.7544289</v>
      </c>
      <c r="Q35" s="9">
        <f t="shared" si="11"/>
        <v>22238.764999999999</v>
      </c>
      <c r="R35" s="8">
        <f t="shared" si="12"/>
        <v>325943.10501300002</v>
      </c>
      <c r="S35" s="4">
        <f t="shared" si="13"/>
        <v>37549546176.934959</v>
      </c>
    </row>
    <row r="36" spans="1:19" x14ac:dyDescent="0.2">
      <c r="A36" t="s">
        <v>77</v>
      </c>
      <c r="B36" s="14">
        <v>0.01</v>
      </c>
      <c r="C36">
        <f>S19/100</f>
        <v>7.4382846266418104E-3</v>
      </c>
      <c r="D36">
        <f>S18/100</f>
        <v>1.0070281731427079E-2</v>
      </c>
      <c r="E36">
        <v>180000</v>
      </c>
      <c r="F36">
        <v>160000</v>
      </c>
      <c r="G36">
        <f t="shared" si="3"/>
        <v>1.3538446344683031</v>
      </c>
      <c r="H36">
        <f t="shared" si="4"/>
        <v>0.30294842231420893</v>
      </c>
      <c r="I36">
        <f t="shared" si="5"/>
        <v>1.125</v>
      </c>
      <c r="J36">
        <f t="shared" si="6"/>
        <v>0.11778303565638346</v>
      </c>
      <c r="K36" s="4">
        <f t="shared" si="7"/>
        <v>2.5720887615600363</v>
      </c>
      <c r="L36" s="4">
        <f t="shared" si="8"/>
        <v>26774.686205209982</v>
      </c>
      <c r="M36" s="20">
        <f t="shared" si="9"/>
        <v>0.16688675036023187</v>
      </c>
      <c r="N36" s="8">
        <f t="shared" si="10"/>
        <v>160436.26080210519</v>
      </c>
      <c r="O36" s="5">
        <v>4447753</v>
      </c>
      <c r="P36" s="8">
        <f>O36*(K36/(1-K36))*POWER(L36,K36)*(POWER(N35,1-K36)-POWER(N36,1-K36))+P35</f>
        <v>11338080443.713903</v>
      </c>
      <c r="Q36" s="9">
        <f t="shared" si="11"/>
        <v>44477.53</v>
      </c>
      <c r="R36" s="8">
        <f t="shared" si="12"/>
        <v>254917.04336355691</v>
      </c>
      <c r="S36" s="4">
        <f t="shared" si="13"/>
        <v>58734295303.996933</v>
      </c>
    </row>
    <row r="37" spans="1:19" x14ac:dyDescent="0.2">
      <c r="A37" t="s">
        <v>71</v>
      </c>
      <c r="B37" s="14">
        <v>0.02</v>
      </c>
      <c r="C37">
        <f>S16/100</f>
        <v>1.9949629204454471E-2</v>
      </c>
      <c r="D37">
        <f>S15/100</f>
        <v>2.7144644572079425E-2</v>
      </c>
      <c r="E37">
        <v>120000</v>
      </c>
      <c r="F37">
        <v>100000</v>
      </c>
      <c r="G37">
        <f t="shared" si="3"/>
        <v>1.3606591026773776</v>
      </c>
      <c r="H37">
        <f t="shared" si="4"/>
        <v>0.30796921667227722</v>
      </c>
      <c r="I37">
        <f t="shared" si="5"/>
        <v>1.2</v>
      </c>
      <c r="J37">
        <f t="shared" si="6"/>
        <v>0.18232155679395459</v>
      </c>
      <c r="K37" s="4">
        <f t="shared" si="7"/>
        <v>1.6891541630500648</v>
      </c>
      <c r="L37" s="4">
        <f t="shared" si="8"/>
        <v>11822.83952560097</v>
      </c>
      <c r="M37" s="20">
        <f t="shared" si="9"/>
        <v>9.8670857273688087E-2</v>
      </c>
      <c r="N37" s="8">
        <f t="shared" si="10"/>
        <v>119820.98719186551</v>
      </c>
      <c r="O37" s="5">
        <v>4447753</v>
      </c>
      <c r="P37" s="8">
        <f>O37*(K37/(1-K37))*POWER(L37,K37)*(POWER(N36,1-K37)-POWER(N37,1-K37))+P36</f>
        <v>16098594842.431259</v>
      </c>
      <c r="Q37" s="9">
        <f t="shared" si="11"/>
        <v>88955.06</v>
      </c>
      <c r="R37" s="8">
        <f t="shared" si="12"/>
        <v>180974.47005747913</v>
      </c>
      <c r="S37" s="4">
        <f t="shared" si="13"/>
        <v>83395035707.211685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14</v>
      </c>
      <c r="B50">
        <v>0</v>
      </c>
      <c r="C50">
        <v>2682.5581999999999</v>
      </c>
      <c r="D50">
        <v>0</v>
      </c>
      <c r="E50">
        <v>1485.9795999999999</v>
      </c>
      <c r="F50">
        <v>1</v>
      </c>
      <c r="G50">
        <v>562.95399999999995</v>
      </c>
      <c r="H50">
        <v>2</v>
      </c>
      <c r="I50">
        <v>233.32553999999999</v>
      </c>
      <c r="J50">
        <v>1</v>
      </c>
      <c r="K50">
        <v>97.061495999999991</v>
      </c>
      <c r="L50">
        <v>3</v>
      </c>
      <c r="M50">
        <v>35.927527999999995</v>
      </c>
      <c r="N50">
        <v>4</v>
      </c>
      <c r="O50">
        <v>11.3369312</v>
      </c>
      <c r="P50" s="3">
        <f>(B50*C50)+(D50*E50)+(F50*G50)+(H50*I50)+(J50*K50)+(L50*M50)+(N50*O50)</f>
        <v>1279.7968847999998</v>
      </c>
      <c r="Q50" s="3"/>
    </row>
    <row r="51" spans="1:19" x14ac:dyDescent="0.2">
      <c r="A51">
        <v>20000</v>
      </c>
      <c r="B51">
        <v>7</v>
      </c>
      <c r="C51">
        <v>2682.5581999999999</v>
      </c>
      <c r="D51">
        <v>2</v>
      </c>
      <c r="E51">
        <v>1485.9795999999999</v>
      </c>
      <c r="F51">
        <v>6</v>
      </c>
      <c r="G51">
        <v>562.95399999999995</v>
      </c>
      <c r="H51">
        <v>60</v>
      </c>
      <c r="I51">
        <v>233.32553999999999</v>
      </c>
      <c r="J51">
        <v>106</v>
      </c>
      <c r="K51">
        <v>97.061495999999991</v>
      </c>
      <c r="L51">
        <v>274</v>
      </c>
      <c r="M51">
        <v>35.927527999999995</v>
      </c>
      <c r="N51">
        <v>385</v>
      </c>
      <c r="O51">
        <v>11.3369312</v>
      </c>
      <c r="P51" s="3">
        <f t="shared" ref="P51:P68" si="14">(B51*C51)+(D51*E51)+(F51*G51)+(H51*I51)+(J51*K51)+(L51*M51)+(N51*O51)</f>
        <v>63624.502759999996</v>
      </c>
      <c r="Q51" s="3"/>
    </row>
    <row r="52" spans="1:19" x14ac:dyDescent="0.2">
      <c r="A52">
        <v>30000</v>
      </c>
      <c r="B52">
        <v>2</v>
      </c>
      <c r="C52">
        <v>2682.5581999999999</v>
      </c>
      <c r="D52">
        <v>2</v>
      </c>
      <c r="E52">
        <v>1485.9795999999999</v>
      </c>
      <c r="F52">
        <v>12</v>
      </c>
      <c r="G52">
        <v>562.95399999999995</v>
      </c>
      <c r="H52">
        <v>32</v>
      </c>
      <c r="I52">
        <v>233.32553999999999</v>
      </c>
      <c r="J52">
        <v>124</v>
      </c>
      <c r="K52">
        <v>97.061495999999991</v>
      </c>
      <c r="L52">
        <v>251</v>
      </c>
      <c r="M52">
        <v>35.927527999999995</v>
      </c>
      <c r="N52">
        <v>394</v>
      </c>
      <c r="O52">
        <v>11.3369312</v>
      </c>
      <c r="P52" s="3">
        <f t="shared" si="14"/>
        <v>48079.126804800006</v>
      </c>
      <c r="Q52" s="3">
        <f>Q53+P52</f>
        <v>337530.84692320001</v>
      </c>
      <c r="R52">
        <v>4537458</v>
      </c>
      <c r="S52">
        <f>Q52/R52*100</f>
        <v>7.4387652056107187</v>
      </c>
    </row>
    <row r="53" spans="1:19" x14ac:dyDescent="0.2">
      <c r="A53">
        <v>40000</v>
      </c>
      <c r="B53">
        <v>4</v>
      </c>
      <c r="C53">
        <v>2682.5581999999999</v>
      </c>
      <c r="D53">
        <v>2</v>
      </c>
      <c r="E53">
        <v>1485.9795999999999</v>
      </c>
      <c r="F53">
        <v>18</v>
      </c>
      <c r="G53">
        <v>562.95399999999995</v>
      </c>
      <c r="H53">
        <v>51</v>
      </c>
      <c r="I53">
        <v>233.32553999999999</v>
      </c>
      <c r="J53">
        <v>135</v>
      </c>
      <c r="K53">
        <v>97.061495999999991</v>
      </c>
      <c r="L53">
        <v>291</v>
      </c>
      <c r="M53">
        <v>35.927527999999995</v>
      </c>
      <c r="N53">
        <v>403</v>
      </c>
      <c r="O53">
        <v>11.3369312</v>
      </c>
      <c r="P53" s="3">
        <f t="shared" si="14"/>
        <v>63861.962421599987</v>
      </c>
      <c r="Q53" s="3">
        <f t="shared" ref="Q53:Q62" si="15">Q54+P53</f>
        <v>289451.7201184</v>
      </c>
      <c r="R53">
        <v>4537458</v>
      </c>
      <c r="S53">
        <f>Q53/R53*100</f>
        <v>6.379160316600176</v>
      </c>
    </row>
    <row r="54" spans="1:19" x14ac:dyDescent="0.2">
      <c r="A54">
        <v>50000</v>
      </c>
      <c r="B54">
        <v>3</v>
      </c>
      <c r="C54">
        <v>2682.5581999999999</v>
      </c>
      <c r="D54">
        <v>3</v>
      </c>
      <c r="E54">
        <v>1485.9795999999999</v>
      </c>
      <c r="F54">
        <v>14</v>
      </c>
      <c r="G54">
        <v>562.95399999999995</v>
      </c>
      <c r="H54">
        <v>54</v>
      </c>
      <c r="I54">
        <v>233.32553999999999</v>
      </c>
      <c r="J54">
        <v>109</v>
      </c>
      <c r="K54">
        <v>97.061495999999991</v>
      </c>
      <c r="L54">
        <v>266</v>
      </c>
      <c r="M54">
        <v>35.927527999999995</v>
      </c>
      <c r="N54">
        <v>357</v>
      </c>
      <c r="O54">
        <v>11.3369312</v>
      </c>
      <c r="P54" s="3">
        <f t="shared" si="14"/>
        <v>57170.258510400003</v>
      </c>
      <c r="Q54" s="3">
        <f t="shared" si="15"/>
        <v>225589.75769679999</v>
      </c>
      <c r="R54">
        <v>4537458</v>
      </c>
      <c r="S54">
        <f>Q54/R54*100</f>
        <v>4.9717211199927354</v>
      </c>
    </row>
    <row r="55" spans="1:19" x14ac:dyDescent="0.2">
      <c r="A55">
        <v>60000</v>
      </c>
      <c r="B55">
        <v>1</v>
      </c>
      <c r="C55">
        <v>2682.5581999999999</v>
      </c>
      <c r="D55">
        <v>3</v>
      </c>
      <c r="E55">
        <v>1485.9795999999999</v>
      </c>
      <c r="F55">
        <v>8</v>
      </c>
      <c r="G55">
        <v>562.95399999999995</v>
      </c>
      <c r="H55">
        <v>38</v>
      </c>
      <c r="I55">
        <v>233.32553999999999</v>
      </c>
      <c r="J55">
        <v>103</v>
      </c>
      <c r="K55">
        <v>97.061495999999991</v>
      </c>
      <c r="L55">
        <v>149</v>
      </c>
      <c r="M55">
        <v>35.927527999999995</v>
      </c>
      <c r="N55">
        <v>217</v>
      </c>
      <c r="O55">
        <v>11.3369312</v>
      </c>
      <c r="P55" s="3">
        <f t="shared" si="14"/>
        <v>38321.149350399995</v>
      </c>
      <c r="Q55" s="3">
        <f t="shared" si="15"/>
        <v>168419.49918639997</v>
      </c>
      <c r="R55">
        <v>4537458</v>
      </c>
      <c r="S55">
        <f>Q55/R55*100</f>
        <v>3.7117588567519517</v>
      </c>
    </row>
    <row r="56" spans="1:19" x14ac:dyDescent="0.2">
      <c r="A56">
        <v>70000</v>
      </c>
      <c r="B56">
        <v>1</v>
      </c>
      <c r="C56">
        <v>2682.5581999999999</v>
      </c>
      <c r="D56">
        <v>4</v>
      </c>
      <c r="E56">
        <v>1485.9795999999999</v>
      </c>
      <c r="F56">
        <v>8</v>
      </c>
      <c r="G56">
        <v>562.95399999999995</v>
      </c>
      <c r="H56">
        <v>23</v>
      </c>
      <c r="I56">
        <v>233.32553999999999</v>
      </c>
      <c r="J56">
        <v>60</v>
      </c>
      <c r="K56">
        <v>97.061495999999991</v>
      </c>
      <c r="L56">
        <v>116</v>
      </c>
      <c r="M56">
        <v>35.927527999999995</v>
      </c>
      <c r="N56">
        <v>161</v>
      </c>
      <c r="O56">
        <v>11.3369312</v>
      </c>
      <c r="P56" s="3">
        <f t="shared" si="14"/>
        <v>30313.124951199996</v>
      </c>
      <c r="Q56" s="3">
        <f t="shared" si="15"/>
        <v>130098.34983599999</v>
      </c>
      <c r="R56">
        <v>4537458</v>
      </c>
      <c r="S56">
        <f>Q56/R56*100</f>
        <v>2.8672078030474331</v>
      </c>
    </row>
    <row r="57" spans="1:19" x14ac:dyDescent="0.2">
      <c r="A57">
        <v>80000</v>
      </c>
      <c r="B57">
        <v>0</v>
      </c>
      <c r="C57">
        <v>2682.5581999999999</v>
      </c>
      <c r="D57">
        <v>3</v>
      </c>
      <c r="E57">
        <v>1485.9795999999999</v>
      </c>
      <c r="F57">
        <v>8</v>
      </c>
      <c r="G57">
        <v>562.95399999999995</v>
      </c>
      <c r="H57">
        <v>10</v>
      </c>
      <c r="I57">
        <v>233.32553999999999</v>
      </c>
      <c r="J57">
        <v>58</v>
      </c>
      <c r="K57">
        <v>97.061495999999991</v>
      </c>
      <c r="L57">
        <v>99</v>
      </c>
      <c r="M57">
        <v>35.927527999999995</v>
      </c>
      <c r="N57">
        <v>114</v>
      </c>
      <c r="O57">
        <v>11.3369312</v>
      </c>
      <c r="P57" s="3">
        <f t="shared" si="14"/>
        <v>21773.628396799999</v>
      </c>
      <c r="Q57" s="3">
        <f t="shared" si="15"/>
        <v>99785.224884800002</v>
      </c>
      <c r="R57">
        <v>4537458</v>
      </c>
      <c r="S57">
        <f t="shared" ref="S57:S63" si="16">Q57/R57*100</f>
        <v>2.1991437691500395</v>
      </c>
    </row>
    <row r="58" spans="1:19" x14ac:dyDescent="0.2">
      <c r="A58">
        <v>90000</v>
      </c>
      <c r="B58">
        <v>0</v>
      </c>
      <c r="C58">
        <v>2682.5581999999999</v>
      </c>
      <c r="D58">
        <v>1</v>
      </c>
      <c r="E58">
        <v>1485.9795999999999</v>
      </c>
      <c r="F58">
        <v>7</v>
      </c>
      <c r="G58">
        <v>562.95399999999995</v>
      </c>
      <c r="H58">
        <v>18</v>
      </c>
      <c r="I58">
        <v>233.32553999999999</v>
      </c>
      <c r="J58">
        <v>39</v>
      </c>
      <c r="K58">
        <v>97.061495999999991</v>
      </c>
      <c r="L58">
        <v>54</v>
      </c>
      <c r="M58">
        <v>35.927527999999995</v>
      </c>
      <c r="N58">
        <v>91</v>
      </c>
      <c r="O58">
        <v>11.3369312</v>
      </c>
      <c r="P58" s="3">
        <f t="shared" si="14"/>
        <v>16383.662915199999</v>
      </c>
      <c r="Q58" s="3">
        <f t="shared" si="15"/>
        <v>78011.596487999996</v>
      </c>
      <c r="R58">
        <v>4537458</v>
      </c>
      <c r="S58">
        <f t="shared" si="16"/>
        <v>1.7192797484406466</v>
      </c>
    </row>
    <row r="59" spans="1:19" x14ac:dyDescent="0.2">
      <c r="A59">
        <v>100000</v>
      </c>
      <c r="B59">
        <v>1</v>
      </c>
      <c r="C59">
        <v>2682.5581999999999</v>
      </c>
      <c r="D59">
        <v>4</v>
      </c>
      <c r="E59">
        <v>1485.9795999999999</v>
      </c>
      <c r="F59">
        <v>4</v>
      </c>
      <c r="G59">
        <v>562.95399999999995</v>
      </c>
      <c r="H59">
        <v>24</v>
      </c>
      <c r="I59">
        <v>233.32553999999999</v>
      </c>
      <c r="J59">
        <v>35</v>
      </c>
      <c r="K59">
        <v>97.061495999999991</v>
      </c>
      <c r="L59">
        <v>97</v>
      </c>
      <c r="M59">
        <v>35.927527999999995</v>
      </c>
      <c r="N59">
        <v>137</v>
      </c>
      <c r="O59">
        <v>11.3369312</v>
      </c>
      <c r="P59" s="3">
        <f t="shared" si="14"/>
        <v>24913.387710399998</v>
      </c>
      <c r="Q59" s="3">
        <f t="shared" si="15"/>
        <v>61627.933572799993</v>
      </c>
      <c r="R59">
        <v>4537458</v>
      </c>
      <c r="S59">
        <f t="shared" si="16"/>
        <v>1.3582039453103476</v>
      </c>
    </row>
    <row r="60" spans="1:19" x14ac:dyDescent="0.2">
      <c r="A60">
        <v>120000</v>
      </c>
      <c r="B60">
        <v>0</v>
      </c>
      <c r="C60">
        <v>2682.5581999999999</v>
      </c>
      <c r="D60">
        <v>0</v>
      </c>
      <c r="E60">
        <v>1485.9795999999999</v>
      </c>
      <c r="F60">
        <v>2</v>
      </c>
      <c r="G60">
        <v>562.95399999999995</v>
      </c>
      <c r="H60">
        <v>13</v>
      </c>
      <c r="I60">
        <v>233.32553999999999</v>
      </c>
      <c r="J60">
        <v>25</v>
      </c>
      <c r="K60">
        <v>97.061495999999991</v>
      </c>
      <c r="L60">
        <v>54</v>
      </c>
      <c r="M60">
        <v>35.927527999999995</v>
      </c>
      <c r="N60">
        <v>76</v>
      </c>
      <c r="O60">
        <v>11.3369312</v>
      </c>
      <c r="P60" s="3">
        <f t="shared" si="14"/>
        <v>9387.3707032000002</v>
      </c>
      <c r="Q60" s="3">
        <f t="shared" si="15"/>
        <v>36714.545862399995</v>
      </c>
      <c r="R60">
        <v>4537458</v>
      </c>
      <c r="S60">
        <f t="shared" si="16"/>
        <v>0.80914348656009583</v>
      </c>
    </row>
    <row r="61" spans="1:19" x14ac:dyDescent="0.2">
      <c r="A61">
        <v>140000</v>
      </c>
      <c r="B61">
        <v>0</v>
      </c>
      <c r="C61">
        <v>2682.5581999999999</v>
      </c>
      <c r="D61">
        <v>1</v>
      </c>
      <c r="E61">
        <v>1485.9795999999999</v>
      </c>
      <c r="F61">
        <v>4</v>
      </c>
      <c r="G61">
        <v>562.95399999999995</v>
      </c>
      <c r="H61">
        <v>5</v>
      </c>
      <c r="I61">
        <v>233.32553999999999</v>
      </c>
      <c r="J61">
        <v>20</v>
      </c>
      <c r="K61">
        <v>97.061495999999991</v>
      </c>
      <c r="L61">
        <v>36</v>
      </c>
      <c r="M61">
        <v>35.927527999999995</v>
      </c>
      <c r="N61">
        <v>48</v>
      </c>
      <c r="O61">
        <v>11.3369312</v>
      </c>
      <c r="P61" s="3">
        <f t="shared" si="14"/>
        <v>8683.2169255999979</v>
      </c>
      <c r="Q61" s="3">
        <f t="shared" si="15"/>
        <v>27327.175159199996</v>
      </c>
      <c r="R61">
        <v>4537458</v>
      </c>
      <c r="S61">
        <f t="shared" si="16"/>
        <v>0.60225736875580993</v>
      </c>
    </row>
    <row r="62" spans="1:19" x14ac:dyDescent="0.2">
      <c r="A62">
        <v>160000</v>
      </c>
      <c r="B62">
        <v>0</v>
      </c>
      <c r="C62">
        <v>2682.5581999999999</v>
      </c>
      <c r="D62">
        <v>0</v>
      </c>
      <c r="E62">
        <v>1485.9795999999999</v>
      </c>
      <c r="F62">
        <v>1</v>
      </c>
      <c r="G62">
        <v>562.95399999999995</v>
      </c>
      <c r="H62">
        <v>3</v>
      </c>
      <c r="I62">
        <v>233.32553999999999</v>
      </c>
      <c r="J62">
        <v>16</v>
      </c>
      <c r="K62">
        <v>97.061495999999991</v>
      </c>
      <c r="L62">
        <v>28</v>
      </c>
      <c r="M62">
        <v>35.927527999999995</v>
      </c>
      <c r="N62">
        <v>43</v>
      </c>
      <c r="O62">
        <v>11.3369312</v>
      </c>
      <c r="P62" s="3">
        <f t="shared" si="14"/>
        <v>4309.3733815999994</v>
      </c>
      <c r="Q62" s="3">
        <f t="shared" si="15"/>
        <v>18643.958233599998</v>
      </c>
      <c r="R62">
        <v>4537458</v>
      </c>
      <c r="S62">
        <f t="shared" si="16"/>
        <v>0.41088993514871097</v>
      </c>
    </row>
    <row r="63" spans="1:19" x14ac:dyDescent="0.2">
      <c r="A63">
        <v>180000</v>
      </c>
      <c r="B63">
        <v>0</v>
      </c>
      <c r="C63">
        <v>2682.5581999999999</v>
      </c>
      <c r="D63">
        <v>0</v>
      </c>
      <c r="E63">
        <v>1485.9795999999999</v>
      </c>
      <c r="F63">
        <v>1</v>
      </c>
      <c r="G63">
        <v>562.95399999999995</v>
      </c>
      <c r="H63">
        <v>5</v>
      </c>
      <c r="I63">
        <v>233.32553999999999</v>
      </c>
      <c r="J63">
        <v>12</v>
      </c>
      <c r="K63">
        <v>97.061495999999991</v>
      </c>
      <c r="L63">
        <v>22</v>
      </c>
      <c r="M63">
        <v>35.927527999999995</v>
      </c>
      <c r="N63">
        <v>25</v>
      </c>
      <c r="O63">
        <v>11.3369312</v>
      </c>
      <c r="P63" s="3">
        <f t="shared" si="14"/>
        <v>3968.1485480000001</v>
      </c>
      <c r="Q63" s="3">
        <f>P64+P63</f>
        <v>14334.584852</v>
      </c>
      <c r="R63">
        <v>4537458</v>
      </c>
      <c r="S63">
        <f t="shared" si="16"/>
        <v>0.31591663993363683</v>
      </c>
    </row>
    <row r="64" spans="1:19" x14ac:dyDescent="0.2">
      <c r="A64">
        <v>200000</v>
      </c>
      <c r="B64">
        <v>0</v>
      </c>
      <c r="C64">
        <v>2682.5581999999999</v>
      </c>
      <c r="D64">
        <v>0</v>
      </c>
      <c r="E64">
        <v>1485.9795999999999</v>
      </c>
      <c r="F64">
        <v>3</v>
      </c>
      <c r="G64">
        <v>562.95399999999995</v>
      </c>
      <c r="H64">
        <v>14</v>
      </c>
      <c r="I64">
        <v>233.32553999999999</v>
      </c>
      <c r="J64">
        <v>27</v>
      </c>
      <c r="K64">
        <v>97.061495999999991</v>
      </c>
      <c r="L64">
        <v>54</v>
      </c>
      <c r="M64">
        <v>35.927527999999995</v>
      </c>
      <c r="N64">
        <v>75</v>
      </c>
      <c r="O64">
        <v>11.3369312</v>
      </c>
      <c r="P64" s="3">
        <f t="shared" si="14"/>
        <v>10366.436303999999</v>
      </c>
      <c r="Q64" s="3">
        <f>P65+P64</f>
        <v>11267.145271199999</v>
      </c>
      <c r="R64">
        <v>4537458</v>
      </c>
      <c r="S64">
        <f>Q64/R64*100</f>
        <v>0.24831403995805579</v>
      </c>
    </row>
    <row r="65" spans="1:19" x14ac:dyDescent="0.2">
      <c r="A65">
        <v>350000</v>
      </c>
      <c r="B65">
        <v>0</v>
      </c>
      <c r="C65">
        <v>2682.5581999999999</v>
      </c>
      <c r="D65">
        <v>0</v>
      </c>
      <c r="E65">
        <v>1485.9795999999999</v>
      </c>
      <c r="F65">
        <v>0</v>
      </c>
      <c r="G65">
        <v>562.95399999999995</v>
      </c>
      <c r="H65">
        <v>1</v>
      </c>
      <c r="I65">
        <v>233.32553999999999</v>
      </c>
      <c r="J65">
        <v>3</v>
      </c>
      <c r="K65">
        <v>97.061495999999991</v>
      </c>
      <c r="L65">
        <v>7</v>
      </c>
      <c r="M65">
        <v>35.927527999999995</v>
      </c>
      <c r="N65">
        <v>11</v>
      </c>
      <c r="O65">
        <v>11.3369312</v>
      </c>
      <c r="P65" s="3">
        <f t="shared" si="14"/>
        <v>900.70896719999996</v>
      </c>
      <c r="Q65" s="3">
        <f>P66+P65</f>
        <v>1841.0935927999999</v>
      </c>
      <c r="R65">
        <v>4537458</v>
      </c>
      <c r="S65">
        <f>Q65/R65*100</f>
        <v>4.0575440980390343E-2</v>
      </c>
    </row>
    <row r="66" spans="1:19" x14ac:dyDescent="0.2">
      <c r="A66">
        <v>500000</v>
      </c>
      <c r="B66">
        <v>0</v>
      </c>
      <c r="C66">
        <v>2682.5581999999999</v>
      </c>
      <c r="D66">
        <v>0</v>
      </c>
      <c r="E66">
        <v>1485.9795999999999</v>
      </c>
      <c r="F66">
        <v>1</v>
      </c>
      <c r="G66">
        <v>562.95399999999995</v>
      </c>
      <c r="H66">
        <v>0</v>
      </c>
      <c r="I66">
        <v>233.32553999999999</v>
      </c>
      <c r="J66">
        <v>2</v>
      </c>
      <c r="K66">
        <v>97.061495999999991</v>
      </c>
      <c r="L66">
        <v>1</v>
      </c>
      <c r="M66">
        <v>35.927527999999995</v>
      </c>
      <c r="N66">
        <v>13</v>
      </c>
      <c r="O66">
        <v>11.3369312</v>
      </c>
      <c r="P66" s="3">
        <f t="shared" si="14"/>
        <v>940.38462559999994</v>
      </c>
      <c r="Q66" s="3">
        <f>P67+P66</f>
        <v>1048.1672096</v>
      </c>
      <c r="R66">
        <v>4537458</v>
      </c>
      <c r="S66">
        <f>Q66/R66*100</f>
        <v>2.3100317613959181E-2</v>
      </c>
    </row>
    <row r="67" spans="1:19" x14ac:dyDescent="0.2">
      <c r="A67" t="s">
        <v>12</v>
      </c>
      <c r="B67">
        <v>0</v>
      </c>
      <c r="C67">
        <v>2682.5581999999999</v>
      </c>
      <c r="D67">
        <v>0</v>
      </c>
      <c r="E67">
        <v>1485.9795999999999</v>
      </c>
      <c r="F67">
        <v>0</v>
      </c>
      <c r="G67">
        <v>562.95399999999995</v>
      </c>
      <c r="H67">
        <v>0</v>
      </c>
      <c r="I67">
        <v>233.32553999999999</v>
      </c>
      <c r="J67">
        <v>0</v>
      </c>
      <c r="K67">
        <v>97.061495999999991</v>
      </c>
      <c r="L67">
        <v>3</v>
      </c>
      <c r="M67">
        <v>35.927527999999995</v>
      </c>
      <c r="N67">
        <v>0</v>
      </c>
      <c r="O67">
        <v>11.3369312</v>
      </c>
      <c r="P67" s="3">
        <f t="shared" si="14"/>
        <v>107.78258399999999</v>
      </c>
      <c r="Q67" s="3">
        <v>271</v>
      </c>
      <c r="R67">
        <v>4537458</v>
      </c>
      <c r="S67">
        <f>Q67/R67*100</f>
        <v>5.9725070733437097E-3</v>
      </c>
    </row>
    <row r="68" spans="1:19" x14ac:dyDescent="0.2">
      <c r="A68" t="s">
        <v>3</v>
      </c>
      <c r="B68">
        <v>19</v>
      </c>
      <c r="C68">
        <v>2682.5581999999999</v>
      </c>
      <c r="D68">
        <v>25</v>
      </c>
      <c r="E68">
        <v>1485.9795999999999</v>
      </c>
      <c r="F68">
        <v>98</v>
      </c>
      <c r="G68">
        <v>562.95399999999995</v>
      </c>
      <c r="H68">
        <v>353</v>
      </c>
      <c r="I68">
        <v>233.32553999999999</v>
      </c>
      <c r="J68">
        <v>875</v>
      </c>
      <c r="K68">
        <v>97.061495999999991</v>
      </c>
      <c r="L68">
        <v>1805</v>
      </c>
      <c r="M68">
        <v>35.927527999999995</v>
      </c>
      <c r="N68">
        <v>2554</v>
      </c>
      <c r="O68">
        <v>11.3369312</v>
      </c>
      <c r="P68" s="3">
        <f t="shared" si="14"/>
        <v>404384.02274479996</v>
      </c>
      <c r="Q68" s="3"/>
      <c r="R68">
        <v>4537458</v>
      </c>
    </row>
    <row r="69" spans="1:19" ht="15" x14ac:dyDescent="0.25">
      <c r="A69" s="2" t="s">
        <v>24</v>
      </c>
    </row>
    <row r="71" spans="1:19" ht="15" x14ac:dyDescent="0.25">
      <c r="B71" s="2" t="s">
        <v>27</v>
      </c>
    </row>
    <row r="72" spans="1:19" ht="15" x14ac:dyDescent="0.25">
      <c r="A72" t="s">
        <v>26</v>
      </c>
      <c r="B72" s="14"/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76</v>
      </c>
      <c r="B73" s="14">
        <v>5.0000000000000001E-4</v>
      </c>
      <c r="C73" s="4">
        <f>S65/100</f>
        <v>4.0575440980390341E-4</v>
      </c>
      <c r="D73" s="5">
        <f>S64/100</f>
        <v>2.4831403995805579E-3</v>
      </c>
      <c r="E73" s="5">
        <v>350000</v>
      </c>
      <c r="F73" s="5">
        <v>200000</v>
      </c>
      <c r="G73" s="5">
        <f t="shared" ref="G73:G78" si="17">D73/C73</f>
        <v>6.1198112443944401</v>
      </c>
      <c r="H73" s="5">
        <f t="shared" ref="H73:H78" si="18">LN(G73)</f>
        <v>1.8115312536293884</v>
      </c>
      <c r="I73" s="5">
        <f t="shared" ref="I73:I78" si="19">E73/F73</f>
        <v>1.75</v>
      </c>
      <c r="J73" s="5">
        <f t="shared" ref="J73:J78" si="20">LN(I73)</f>
        <v>0.55961578793542266</v>
      </c>
      <c r="K73" s="4">
        <f t="shared" ref="K73:K78" si="21">H73/J73</f>
        <v>3.2370981889425026</v>
      </c>
      <c r="L73" s="4">
        <f t="shared" ref="L73:L78" si="22">F73*(D73^(1/K73))</f>
        <v>31354.31437433809</v>
      </c>
      <c r="M73" s="7">
        <f t="shared" ref="M73:M78" si="23">POWER(B73,1/K73)</f>
        <v>9.5554308203424976E-2</v>
      </c>
      <c r="N73" s="8">
        <f t="shared" ref="N73:N78" si="24">L73/M73</f>
        <v>328130.82909446722</v>
      </c>
      <c r="O73">
        <f t="shared" ref="O73:O78" si="25">R54</f>
        <v>4537458</v>
      </c>
      <c r="P73" s="8">
        <f>O73*(K73/(1-K73))*POWER(L73,K73)*(-1)*POWER(N73,1-K73)</f>
        <v>1077210269.0180376</v>
      </c>
      <c r="Q73" s="9">
        <f t="shared" ref="Q73:Q78" si="26">B73*O73</f>
        <v>2268.7290000000003</v>
      </c>
      <c r="R73" s="4">
        <f t="shared" ref="R73:R78" si="27">P73/Q73</f>
        <v>474807.81927591946</v>
      </c>
      <c r="S73" s="3">
        <f t="shared" ref="S73:S78" si="28">4.2116*P73*1.23</f>
        <v>5580237885.865531</v>
      </c>
    </row>
    <row r="74" spans="1:19" x14ac:dyDescent="0.2">
      <c r="A74" t="s">
        <v>76</v>
      </c>
      <c r="B74" s="14">
        <v>1E-3</v>
      </c>
      <c r="C74" s="5">
        <f>S65/100</f>
        <v>4.0575440980390341E-4</v>
      </c>
      <c r="D74" s="5">
        <f>S64/100</f>
        <v>2.4831403995805579E-3</v>
      </c>
      <c r="E74" s="5">
        <v>350000</v>
      </c>
      <c r="F74" s="5">
        <v>200000</v>
      </c>
      <c r="G74" s="5">
        <f t="shared" si="17"/>
        <v>6.1198112443944401</v>
      </c>
      <c r="H74" s="5">
        <f t="shared" si="18"/>
        <v>1.8115312536293884</v>
      </c>
      <c r="I74" s="5">
        <f t="shared" si="19"/>
        <v>1.75</v>
      </c>
      <c r="J74" s="5">
        <f t="shared" si="20"/>
        <v>0.55961578793542266</v>
      </c>
      <c r="K74" s="4">
        <f t="shared" si="21"/>
        <v>3.2370981889425026</v>
      </c>
      <c r="L74" s="4">
        <f t="shared" si="22"/>
        <v>31354.31437433809</v>
      </c>
      <c r="M74" s="7">
        <f t="shared" si="23"/>
        <v>0.1183706554072089</v>
      </c>
      <c r="N74" s="8">
        <f t="shared" si="24"/>
        <v>264882.49360853486</v>
      </c>
      <c r="O74">
        <f t="shared" si="25"/>
        <v>4537458</v>
      </c>
      <c r="P74" s="8">
        <f>O74*(K74/(1-K74))*POWER(L74,K74)*(POWER(N73,1-K74)-POWER(N74,1-K74))+P73</f>
        <v>1739148637.6677666</v>
      </c>
      <c r="Q74" s="9">
        <f t="shared" si="26"/>
        <v>4537.4580000000005</v>
      </c>
      <c r="R74" s="4">
        <f t="shared" si="27"/>
        <v>383286.99409840629</v>
      </c>
      <c r="S74" s="3">
        <f t="shared" si="28"/>
        <v>9009256034.9539261</v>
      </c>
    </row>
    <row r="75" spans="1:19" x14ac:dyDescent="0.2">
      <c r="A75" t="s">
        <v>82</v>
      </c>
      <c r="B75" s="14">
        <v>2.5000000000000001E-3</v>
      </c>
      <c r="C75" s="5">
        <f>S64/100</f>
        <v>2.4831403995805579E-3</v>
      </c>
      <c r="D75" s="5">
        <f>S63/100</f>
        <v>3.1591663993363684E-3</v>
      </c>
      <c r="E75" s="5">
        <v>200000</v>
      </c>
      <c r="F75" s="5">
        <v>180000</v>
      </c>
      <c r="G75" s="5">
        <f t="shared" si="17"/>
        <v>1.2722463860158701</v>
      </c>
      <c r="H75" s="5">
        <f t="shared" si="18"/>
        <v>0.24078414585857719</v>
      </c>
      <c r="I75" s="5">
        <f t="shared" si="19"/>
        <v>1.1111111111111112</v>
      </c>
      <c r="J75" s="5">
        <f t="shared" si="20"/>
        <v>0.10536051565782635</v>
      </c>
      <c r="K75" s="4">
        <f t="shared" si="21"/>
        <v>2.2853356815427786</v>
      </c>
      <c r="L75" s="4">
        <f t="shared" si="22"/>
        <v>14492.864958378957</v>
      </c>
      <c r="M75" s="7">
        <f t="shared" si="23"/>
        <v>7.267920339352843E-2</v>
      </c>
      <c r="N75" s="8">
        <f>L75/M75</f>
        <v>199408.69301918414</v>
      </c>
      <c r="O75">
        <f t="shared" si="25"/>
        <v>4537458</v>
      </c>
      <c r="P75" s="8">
        <f>O75*(K75/(1-K75))*POWER(L75,K75)*(POWER(N74,1-K75)-POWER(N75,1-K75))+P74</f>
        <v>2968902882.9081926</v>
      </c>
      <c r="Q75" s="9">
        <f t="shared" si="26"/>
        <v>11343.645</v>
      </c>
      <c r="R75" s="4">
        <f t="shared" si="27"/>
        <v>261723.88883010641</v>
      </c>
      <c r="S75" s="3">
        <f t="shared" si="28"/>
        <v>15379712599.437056</v>
      </c>
    </row>
    <row r="76" spans="1:19" x14ac:dyDescent="0.2">
      <c r="A76" t="s">
        <v>80</v>
      </c>
      <c r="B76" s="14">
        <v>5.0000000000000001E-3</v>
      </c>
      <c r="C76" s="5">
        <f>S62/100</f>
        <v>4.1088993514871094E-3</v>
      </c>
      <c r="D76" s="5">
        <f>S61/100</f>
        <v>6.0225736875580997E-3</v>
      </c>
      <c r="E76" s="5">
        <v>160000</v>
      </c>
      <c r="F76" s="5">
        <v>140000</v>
      </c>
      <c r="G76" s="5">
        <f t="shared" si="17"/>
        <v>1.4657389174982798</v>
      </c>
      <c r="H76" s="5">
        <f t="shared" si="18"/>
        <v>0.38235949585681972</v>
      </c>
      <c r="I76" s="5">
        <f t="shared" si="19"/>
        <v>1.1428571428571428</v>
      </c>
      <c r="J76" s="5">
        <f t="shared" si="20"/>
        <v>0.13353139262452257</v>
      </c>
      <c r="K76" s="4">
        <f t="shared" si="21"/>
        <v>2.8634427331404972</v>
      </c>
      <c r="L76" s="4">
        <f t="shared" si="22"/>
        <v>23483.424472954783</v>
      </c>
      <c r="M76" s="7">
        <f t="shared" si="23"/>
        <v>0.15718510139027864</v>
      </c>
      <c r="N76" s="8">
        <f t="shared" si="24"/>
        <v>149399.81121141519</v>
      </c>
      <c r="O76">
        <f t="shared" si="25"/>
        <v>4537458</v>
      </c>
      <c r="P76" s="8">
        <f>O76*(K76/(1-K76))*POWER(L76,K76)*(POWER(N75,1-K76)-POWER(N76,1-K76))+P75</f>
        <v>5136143677.3037701</v>
      </c>
      <c r="Q76" s="9">
        <f t="shared" si="26"/>
        <v>22687.29</v>
      </c>
      <c r="R76" s="4">
        <f t="shared" si="27"/>
        <v>226388.59367089547</v>
      </c>
      <c r="S76" s="3">
        <f t="shared" si="28"/>
        <v>26606600734.939045</v>
      </c>
    </row>
    <row r="77" spans="1:19" x14ac:dyDescent="0.2">
      <c r="A77" t="s">
        <v>71</v>
      </c>
      <c r="B77" s="14">
        <v>0.01</v>
      </c>
      <c r="C77" s="5">
        <f>S60/100</f>
        <v>8.0914348656009587E-3</v>
      </c>
      <c r="D77" s="5">
        <f>S59/100</f>
        <v>1.3582039453103475E-2</v>
      </c>
      <c r="E77" s="5">
        <v>120000</v>
      </c>
      <c r="F77" s="5">
        <v>100000</v>
      </c>
      <c r="G77" s="5">
        <f t="shared" si="17"/>
        <v>1.6785699543655319</v>
      </c>
      <c r="H77" s="5">
        <f t="shared" si="18"/>
        <v>0.51794221328414758</v>
      </c>
      <c r="I77" s="5">
        <f t="shared" si="19"/>
        <v>1.2</v>
      </c>
      <c r="J77" s="5">
        <f t="shared" si="20"/>
        <v>0.18232155679395459</v>
      </c>
      <c r="K77" s="4">
        <f t="shared" si="21"/>
        <v>2.8408171934900981</v>
      </c>
      <c r="L77" s="4">
        <f t="shared" si="22"/>
        <v>22018.230611121515</v>
      </c>
      <c r="M77" s="7">
        <f t="shared" si="23"/>
        <v>0.19768659739576733</v>
      </c>
      <c r="N77" s="8">
        <f t="shared" si="24"/>
        <v>111379.48096218762</v>
      </c>
      <c r="O77">
        <f t="shared" si="25"/>
        <v>4537458</v>
      </c>
      <c r="P77" s="8">
        <f>O77*(K77/(1-K77))*POWER(L77,K77)*(POWER(N76,1-K77)-POWER(N77,1-K77))+P76</f>
        <v>8393177507.7775555</v>
      </c>
      <c r="Q77" s="9">
        <f t="shared" si="26"/>
        <v>45374.58</v>
      </c>
      <c r="R77" s="4">
        <f t="shared" si="27"/>
        <v>184975.32115509509</v>
      </c>
      <c r="S77" s="3">
        <f t="shared" si="28"/>
        <v>43478908861.859818</v>
      </c>
    </row>
    <row r="78" spans="1:19" x14ac:dyDescent="0.2">
      <c r="A78" t="s">
        <v>79</v>
      </c>
      <c r="B78" s="14">
        <v>0.02</v>
      </c>
      <c r="C78" s="5">
        <f>S58/100</f>
        <v>1.7192797484406466E-2</v>
      </c>
      <c r="D78" s="5">
        <f>S57/100</f>
        <v>2.1991437691500394E-2</v>
      </c>
      <c r="E78" s="5">
        <v>90000</v>
      </c>
      <c r="F78" s="5">
        <v>80000</v>
      </c>
      <c r="G78" s="5">
        <f t="shared" si="17"/>
        <v>1.2791075862695529</v>
      </c>
      <c r="H78" s="5">
        <f t="shared" si="18"/>
        <v>0.24616263654890513</v>
      </c>
      <c r="I78" s="5">
        <f t="shared" si="19"/>
        <v>1.125</v>
      </c>
      <c r="J78" s="5">
        <f t="shared" si="20"/>
        <v>0.11778303565638346</v>
      </c>
      <c r="K78" s="4">
        <f t="shared" si="21"/>
        <v>2.0899668205789186</v>
      </c>
      <c r="L78" s="4">
        <f t="shared" si="22"/>
        <v>12879.44977291854</v>
      </c>
      <c r="M78" s="7">
        <f t="shared" si="23"/>
        <v>0.15384478754297581</v>
      </c>
      <c r="N78" s="8">
        <f t="shared" si="24"/>
        <v>83717.167013674261</v>
      </c>
      <c r="O78">
        <f t="shared" si="25"/>
        <v>4537458</v>
      </c>
      <c r="P78" s="8">
        <f>O78*(K78/(1-K78))*POWER(L78,K78)*(POWER(N77,1-K78)-POWER(N78,1-K78))+P77</f>
        <v>12288821354.355312</v>
      </c>
      <c r="Q78" s="9">
        <f t="shared" si="26"/>
        <v>90749.16</v>
      </c>
      <c r="R78" s="4">
        <f t="shared" si="27"/>
        <v>135415.26284491573</v>
      </c>
      <c r="S78" s="3">
        <f t="shared" si="28"/>
        <v>63659388019.683479</v>
      </c>
    </row>
    <row r="80" spans="1:19" x14ac:dyDescent="0.2">
      <c r="B80" s="16"/>
    </row>
    <row r="81" spans="1:7" ht="15" x14ac:dyDescent="0.25">
      <c r="A81" s="15" t="s">
        <v>60</v>
      </c>
    </row>
    <row r="82" spans="1:7" ht="15" x14ac:dyDescent="0.25">
      <c r="A82" s="2" t="s">
        <v>61</v>
      </c>
    </row>
    <row r="83" spans="1:7" x14ac:dyDescent="0.2">
      <c r="B83" s="4"/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29">S32+S73</f>
        <v>14467054192.524807</v>
      </c>
      <c r="C85">
        <f t="shared" ref="C85:C90" si="30">1227900000000*1.23</f>
        <v>1510317000000</v>
      </c>
      <c r="F85" s="10">
        <f t="shared" ref="F85:F90" si="31">B85/C85*100</f>
        <v>0.95788196733035558</v>
      </c>
    </row>
    <row r="86" spans="1:7" ht="15" x14ac:dyDescent="0.25">
      <c r="A86" s="18">
        <v>1E-3</v>
      </c>
      <c r="B86" s="3">
        <f t="shared" si="29"/>
        <v>22565969667.832954</v>
      </c>
      <c r="C86">
        <f t="shared" si="30"/>
        <v>1510317000000</v>
      </c>
      <c r="F86" s="10">
        <f t="shared" si="31"/>
        <v>1.4941214107921021</v>
      </c>
    </row>
    <row r="87" spans="1:7" ht="15" x14ac:dyDescent="0.25">
      <c r="A87" s="18">
        <v>2.5000000000000001E-3</v>
      </c>
      <c r="B87" s="3">
        <f t="shared" si="29"/>
        <v>39461183742.928848</v>
      </c>
      <c r="C87">
        <f t="shared" si="30"/>
        <v>1510317000000</v>
      </c>
      <c r="F87" s="10">
        <f t="shared" si="31"/>
        <v>2.6127749169829144</v>
      </c>
    </row>
    <row r="88" spans="1:7" ht="15" x14ac:dyDescent="0.25">
      <c r="A88" s="18">
        <v>5.0000000000000001E-3</v>
      </c>
      <c r="B88" s="3">
        <f t="shared" si="29"/>
        <v>64156146911.874008</v>
      </c>
      <c r="C88">
        <f t="shared" si="30"/>
        <v>1510317000000</v>
      </c>
      <c r="F88" s="10">
        <f t="shared" si="31"/>
        <v>4.2478596818994951</v>
      </c>
    </row>
    <row r="89" spans="1:7" ht="15" x14ac:dyDescent="0.25">
      <c r="A89" s="19">
        <v>0.01</v>
      </c>
      <c r="B89" s="3">
        <f t="shared" si="29"/>
        <v>102213204165.85675</v>
      </c>
      <c r="C89">
        <f t="shared" si="30"/>
        <v>1510317000000</v>
      </c>
      <c r="F89" s="10">
        <f t="shared" si="31"/>
        <v>6.7676656070120869</v>
      </c>
    </row>
    <row r="90" spans="1:7" ht="15" x14ac:dyDescent="0.25">
      <c r="A90" s="19">
        <v>0.02</v>
      </c>
      <c r="B90" s="3">
        <f t="shared" si="29"/>
        <v>147054423726.89517</v>
      </c>
      <c r="C90">
        <f t="shared" si="30"/>
        <v>1510317000000</v>
      </c>
      <c r="F90" s="10">
        <f t="shared" si="31"/>
        <v>9.7366595043884931</v>
      </c>
    </row>
  </sheetData>
  <pageMargins left="0.7" right="0.7" top="0.75" bottom="0.75" header="0.3" footer="0.3"/>
  <legacy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.5703125" customWidth="1"/>
    <col min="2" max="2" width="13" customWidth="1"/>
    <col min="3" max="3" width="15" customWidth="1"/>
    <col min="5" max="5" width="13.42578125" customWidth="1"/>
    <col min="7" max="7" width="13.42578125" customWidth="1"/>
    <col min="9" max="9" width="13.85546875" customWidth="1"/>
    <col min="11" max="11" width="14.42578125" customWidth="1"/>
    <col min="13" max="13" width="13.42578125" customWidth="1"/>
    <col min="15" max="15" width="12.28515625" customWidth="1"/>
    <col min="16" max="16" width="15" customWidth="1"/>
    <col min="17" max="17" width="23.5703125" customWidth="1"/>
    <col min="18" max="18" width="15" customWidth="1"/>
    <col min="19" max="19" width="12.28515625" bestFit="1" customWidth="1"/>
    <col min="257" max="257" width="14.5703125" customWidth="1"/>
    <col min="258" max="258" width="13" customWidth="1"/>
    <col min="259" max="259" width="15" customWidth="1"/>
    <col min="261" max="261" width="13.42578125" customWidth="1"/>
    <col min="263" max="263" width="13.42578125" customWidth="1"/>
    <col min="265" max="265" width="13.85546875" customWidth="1"/>
    <col min="267" max="267" width="14.42578125" customWidth="1"/>
    <col min="269" max="269" width="13.42578125" customWidth="1"/>
    <col min="271" max="271" width="12.28515625" customWidth="1"/>
    <col min="272" max="272" width="15" customWidth="1"/>
    <col min="273" max="273" width="23.5703125" customWidth="1"/>
    <col min="274" max="274" width="15" customWidth="1"/>
    <col min="275" max="275" width="12.28515625" bestFit="1" customWidth="1"/>
    <col min="513" max="513" width="14.5703125" customWidth="1"/>
    <col min="514" max="514" width="13" customWidth="1"/>
    <col min="515" max="515" width="15" customWidth="1"/>
    <col min="517" max="517" width="13.42578125" customWidth="1"/>
    <col min="519" max="519" width="13.42578125" customWidth="1"/>
    <col min="521" max="521" width="13.85546875" customWidth="1"/>
    <col min="523" max="523" width="14.42578125" customWidth="1"/>
    <col min="525" max="525" width="13.42578125" customWidth="1"/>
    <col min="527" max="527" width="12.28515625" customWidth="1"/>
    <col min="528" max="528" width="15" customWidth="1"/>
    <col min="529" max="529" width="23.5703125" customWidth="1"/>
    <col min="530" max="530" width="15" customWidth="1"/>
    <col min="531" max="531" width="12.28515625" bestFit="1" customWidth="1"/>
    <col min="769" max="769" width="14.5703125" customWidth="1"/>
    <col min="770" max="770" width="13" customWidth="1"/>
    <col min="771" max="771" width="15" customWidth="1"/>
    <col min="773" max="773" width="13.42578125" customWidth="1"/>
    <col min="775" max="775" width="13.42578125" customWidth="1"/>
    <col min="777" max="777" width="13.85546875" customWidth="1"/>
    <col min="779" max="779" width="14.42578125" customWidth="1"/>
    <col min="781" max="781" width="13.42578125" customWidth="1"/>
    <col min="783" max="783" width="12.28515625" customWidth="1"/>
    <col min="784" max="784" width="15" customWidth="1"/>
    <col min="785" max="785" width="23.5703125" customWidth="1"/>
    <col min="786" max="786" width="15" customWidth="1"/>
    <col min="787" max="787" width="12.28515625" bestFit="1" customWidth="1"/>
    <col min="1025" max="1025" width="14.5703125" customWidth="1"/>
    <col min="1026" max="1026" width="13" customWidth="1"/>
    <col min="1027" max="1027" width="15" customWidth="1"/>
    <col min="1029" max="1029" width="13.42578125" customWidth="1"/>
    <col min="1031" max="1031" width="13.42578125" customWidth="1"/>
    <col min="1033" max="1033" width="13.85546875" customWidth="1"/>
    <col min="1035" max="1035" width="14.42578125" customWidth="1"/>
    <col min="1037" max="1037" width="13.42578125" customWidth="1"/>
    <col min="1039" max="1039" width="12.28515625" customWidth="1"/>
    <col min="1040" max="1040" width="15" customWidth="1"/>
    <col min="1041" max="1041" width="23.5703125" customWidth="1"/>
    <col min="1042" max="1042" width="15" customWidth="1"/>
    <col min="1043" max="1043" width="12.28515625" bestFit="1" customWidth="1"/>
    <col min="1281" max="1281" width="14.5703125" customWidth="1"/>
    <col min="1282" max="1282" width="13" customWidth="1"/>
    <col min="1283" max="1283" width="15" customWidth="1"/>
    <col min="1285" max="1285" width="13.42578125" customWidth="1"/>
    <col min="1287" max="1287" width="13.42578125" customWidth="1"/>
    <col min="1289" max="1289" width="13.85546875" customWidth="1"/>
    <col min="1291" max="1291" width="14.42578125" customWidth="1"/>
    <col min="1293" max="1293" width="13.42578125" customWidth="1"/>
    <col min="1295" max="1295" width="12.28515625" customWidth="1"/>
    <col min="1296" max="1296" width="15" customWidth="1"/>
    <col min="1297" max="1297" width="23.5703125" customWidth="1"/>
    <col min="1298" max="1298" width="15" customWidth="1"/>
    <col min="1299" max="1299" width="12.28515625" bestFit="1" customWidth="1"/>
    <col min="1537" max="1537" width="14.5703125" customWidth="1"/>
    <col min="1538" max="1538" width="13" customWidth="1"/>
    <col min="1539" max="1539" width="15" customWidth="1"/>
    <col min="1541" max="1541" width="13.42578125" customWidth="1"/>
    <col min="1543" max="1543" width="13.42578125" customWidth="1"/>
    <col min="1545" max="1545" width="13.85546875" customWidth="1"/>
    <col min="1547" max="1547" width="14.42578125" customWidth="1"/>
    <col min="1549" max="1549" width="13.42578125" customWidth="1"/>
    <col min="1551" max="1551" width="12.28515625" customWidth="1"/>
    <col min="1552" max="1552" width="15" customWidth="1"/>
    <col min="1553" max="1553" width="23.5703125" customWidth="1"/>
    <col min="1554" max="1554" width="15" customWidth="1"/>
    <col min="1555" max="1555" width="12.28515625" bestFit="1" customWidth="1"/>
    <col min="1793" max="1793" width="14.5703125" customWidth="1"/>
    <col min="1794" max="1794" width="13" customWidth="1"/>
    <col min="1795" max="1795" width="15" customWidth="1"/>
    <col min="1797" max="1797" width="13.42578125" customWidth="1"/>
    <col min="1799" max="1799" width="13.42578125" customWidth="1"/>
    <col min="1801" max="1801" width="13.85546875" customWidth="1"/>
    <col min="1803" max="1803" width="14.42578125" customWidth="1"/>
    <col min="1805" max="1805" width="13.42578125" customWidth="1"/>
    <col min="1807" max="1807" width="12.28515625" customWidth="1"/>
    <col min="1808" max="1808" width="15" customWidth="1"/>
    <col min="1809" max="1809" width="23.5703125" customWidth="1"/>
    <col min="1810" max="1810" width="15" customWidth="1"/>
    <col min="1811" max="1811" width="12.28515625" bestFit="1" customWidth="1"/>
    <col min="2049" max="2049" width="14.5703125" customWidth="1"/>
    <col min="2050" max="2050" width="13" customWidth="1"/>
    <col min="2051" max="2051" width="15" customWidth="1"/>
    <col min="2053" max="2053" width="13.42578125" customWidth="1"/>
    <col min="2055" max="2055" width="13.42578125" customWidth="1"/>
    <col min="2057" max="2057" width="13.85546875" customWidth="1"/>
    <col min="2059" max="2059" width="14.42578125" customWidth="1"/>
    <col min="2061" max="2061" width="13.42578125" customWidth="1"/>
    <col min="2063" max="2063" width="12.28515625" customWidth="1"/>
    <col min="2064" max="2064" width="15" customWidth="1"/>
    <col min="2065" max="2065" width="23.5703125" customWidth="1"/>
    <col min="2066" max="2066" width="15" customWidth="1"/>
    <col min="2067" max="2067" width="12.28515625" bestFit="1" customWidth="1"/>
    <col min="2305" max="2305" width="14.5703125" customWidth="1"/>
    <col min="2306" max="2306" width="13" customWidth="1"/>
    <col min="2307" max="2307" width="15" customWidth="1"/>
    <col min="2309" max="2309" width="13.42578125" customWidth="1"/>
    <col min="2311" max="2311" width="13.42578125" customWidth="1"/>
    <col min="2313" max="2313" width="13.85546875" customWidth="1"/>
    <col min="2315" max="2315" width="14.42578125" customWidth="1"/>
    <col min="2317" max="2317" width="13.42578125" customWidth="1"/>
    <col min="2319" max="2319" width="12.28515625" customWidth="1"/>
    <col min="2320" max="2320" width="15" customWidth="1"/>
    <col min="2321" max="2321" width="23.5703125" customWidth="1"/>
    <col min="2322" max="2322" width="15" customWidth="1"/>
    <col min="2323" max="2323" width="12.28515625" bestFit="1" customWidth="1"/>
    <col min="2561" max="2561" width="14.5703125" customWidth="1"/>
    <col min="2562" max="2562" width="13" customWidth="1"/>
    <col min="2563" max="2563" width="15" customWidth="1"/>
    <col min="2565" max="2565" width="13.42578125" customWidth="1"/>
    <col min="2567" max="2567" width="13.42578125" customWidth="1"/>
    <col min="2569" max="2569" width="13.85546875" customWidth="1"/>
    <col min="2571" max="2571" width="14.42578125" customWidth="1"/>
    <col min="2573" max="2573" width="13.42578125" customWidth="1"/>
    <col min="2575" max="2575" width="12.28515625" customWidth="1"/>
    <col min="2576" max="2576" width="15" customWidth="1"/>
    <col min="2577" max="2577" width="23.5703125" customWidth="1"/>
    <col min="2578" max="2578" width="15" customWidth="1"/>
    <col min="2579" max="2579" width="12.28515625" bestFit="1" customWidth="1"/>
    <col min="2817" max="2817" width="14.5703125" customWidth="1"/>
    <col min="2818" max="2818" width="13" customWidth="1"/>
    <col min="2819" max="2819" width="15" customWidth="1"/>
    <col min="2821" max="2821" width="13.42578125" customWidth="1"/>
    <col min="2823" max="2823" width="13.42578125" customWidth="1"/>
    <col min="2825" max="2825" width="13.85546875" customWidth="1"/>
    <col min="2827" max="2827" width="14.42578125" customWidth="1"/>
    <col min="2829" max="2829" width="13.42578125" customWidth="1"/>
    <col min="2831" max="2831" width="12.28515625" customWidth="1"/>
    <col min="2832" max="2832" width="15" customWidth="1"/>
    <col min="2833" max="2833" width="23.5703125" customWidth="1"/>
    <col min="2834" max="2834" width="15" customWidth="1"/>
    <col min="2835" max="2835" width="12.28515625" bestFit="1" customWidth="1"/>
    <col min="3073" max="3073" width="14.5703125" customWidth="1"/>
    <col min="3074" max="3074" width="13" customWidth="1"/>
    <col min="3075" max="3075" width="15" customWidth="1"/>
    <col min="3077" max="3077" width="13.42578125" customWidth="1"/>
    <col min="3079" max="3079" width="13.42578125" customWidth="1"/>
    <col min="3081" max="3081" width="13.85546875" customWidth="1"/>
    <col min="3083" max="3083" width="14.42578125" customWidth="1"/>
    <col min="3085" max="3085" width="13.42578125" customWidth="1"/>
    <col min="3087" max="3087" width="12.28515625" customWidth="1"/>
    <col min="3088" max="3088" width="15" customWidth="1"/>
    <col min="3089" max="3089" width="23.5703125" customWidth="1"/>
    <col min="3090" max="3090" width="15" customWidth="1"/>
    <col min="3091" max="3091" width="12.28515625" bestFit="1" customWidth="1"/>
    <col min="3329" max="3329" width="14.5703125" customWidth="1"/>
    <col min="3330" max="3330" width="13" customWidth="1"/>
    <col min="3331" max="3331" width="15" customWidth="1"/>
    <col min="3333" max="3333" width="13.42578125" customWidth="1"/>
    <col min="3335" max="3335" width="13.42578125" customWidth="1"/>
    <col min="3337" max="3337" width="13.85546875" customWidth="1"/>
    <col min="3339" max="3339" width="14.42578125" customWidth="1"/>
    <col min="3341" max="3341" width="13.42578125" customWidth="1"/>
    <col min="3343" max="3343" width="12.28515625" customWidth="1"/>
    <col min="3344" max="3344" width="15" customWidth="1"/>
    <col min="3345" max="3345" width="23.5703125" customWidth="1"/>
    <col min="3346" max="3346" width="15" customWidth="1"/>
    <col min="3347" max="3347" width="12.28515625" bestFit="1" customWidth="1"/>
    <col min="3585" max="3585" width="14.5703125" customWidth="1"/>
    <col min="3586" max="3586" width="13" customWidth="1"/>
    <col min="3587" max="3587" width="15" customWidth="1"/>
    <col min="3589" max="3589" width="13.42578125" customWidth="1"/>
    <col min="3591" max="3591" width="13.42578125" customWidth="1"/>
    <col min="3593" max="3593" width="13.85546875" customWidth="1"/>
    <col min="3595" max="3595" width="14.42578125" customWidth="1"/>
    <col min="3597" max="3597" width="13.42578125" customWidth="1"/>
    <col min="3599" max="3599" width="12.28515625" customWidth="1"/>
    <col min="3600" max="3600" width="15" customWidth="1"/>
    <col min="3601" max="3601" width="23.5703125" customWidth="1"/>
    <col min="3602" max="3602" width="15" customWidth="1"/>
    <col min="3603" max="3603" width="12.28515625" bestFit="1" customWidth="1"/>
    <col min="3841" max="3841" width="14.5703125" customWidth="1"/>
    <col min="3842" max="3842" width="13" customWidth="1"/>
    <col min="3843" max="3843" width="15" customWidth="1"/>
    <col min="3845" max="3845" width="13.42578125" customWidth="1"/>
    <col min="3847" max="3847" width="13.42578125" customWidth="1"/>
    <col min="3849" max="3849" width="13.85546875" customWidth="1"/>
    <col min="3851" max="3851" width="14.42578125" customWidth="1"/>
    <col min="3853" max="3853" width="13.42578125" customWidth="1"/>
    <col min="3855" max="3855" width="12.28515625" customWidth="1"/>
    <col min="3856" max="3856" width="15" customWidth="1"/>
    <col min="3857" max="3857" width="23.5703125" customWidth="1"/>
    <col min="3858" max="3858" width="15" customWidth="1"/>
    <col min="3859" max="3859" width="12.28515625" bestFit="1" customWidth="1"/>
    <col min="4097" max="4097" width="14.5703125" customWidth="1"/>
    <col min="4098" max="4098" width="13" customWidth="1"/>
    <col min="4099" max="4099" width="15" customWidth="1"/>
    <col min="4101" max="4101" width="13.42578125" customWidth="1"/>
    <col min="4103" max="4103" width="13.42578125" customWidth="1"/>
    <col min="4105" max="4105" width="13.85546875" customWidth="1"/>
    <col min="4107" max="4107" width="14.42578125" customWidth="1"/>
    <col min="4109" max="4109" width="13.42578125" customWidth="1"/>
    <col min="4111" max="4111" width="12.28515625" customWidth="1"/>
    <col min="4112" max="4112" width="15" customWidth="1"/>
    <col min="4113" max="4113" width="23.5703125" customWidth="1"/>
    <col min="4114" max="4114" width="15" customWidth="1"/>
    <col min="4115" max="4115" width="12.28515625" bestFit="1" customWidth="1"/>
    <col min="4353" max="4353" width="14.5703125" customWidth="1"/>
    <col min="4354" max="4354" width="13" customWidth="1"/>
    <col min="4355" max="4355" width="15" customWidth="1"/>
    <col min="4357" max="4357" width="13.42578125" customWidth="1"/>
    <col min="4359" max="4359" width="13.42578125" customWidth="1"/>
    <col min="4361" max="4361" width="13.85546875" customWidth="1"/>
    <col min="4363" max="4363" width="14.42578125" customWidth="1"/>
    <col min="4365" max="4365" width="13.42578125" customWidth="1"/>
    <col min="4367" max="4367" width="12.28515625" customWidth="1"/>
    <col min="4368" max="4368" width="15" customWidth="1"/>
    <col min="4369" max="4369" width="23.5703125" customWidth="1"/>
    <col min="4370" max="4370" width="15" customWidth="1"/>
    <col min="4371" max="4371" width="12.28515625" bestFit="1" customWidth="1"/>
    <col min="4609" max="4609" width="14.5703125" customWidth="1"/>
    <col min="4610" max="4610" width="13" customWidth="1"/>
    <col min="4611" max="4611" width="15" customWidth="1"/>
    <col min="4613" max="4613" width="13.42578125" customWidth="1"/>
    <col min="4615" max="4615" width="13.42578125" customWidth="1"/>
    <col min="4617" max="4617" width="13.85546875" customWidth="1"/>
    <col min="4619" max="4619" width="14.42578125" customWidth="1"/>
    <col min="4621" max="4621" width="13.42578125" customWidth="1"/>
    <col min="4623" max="4623" width="12.28515625" customWidth="1"/>
    <col min="4624" max="4624" width="15" customWidth="1"/>
    <col min="4625" max="4625" width="23.5703125" customWidth="1"/>
    <col min="4626" max="4626" width="15" customWidth="1"/>
    <col min="4627" max="4627" width="12.28515625" bestFit="1" customWidth="1"/>
    <col min="4865" max="4865" width="14.5703125" customWidth="1"/>
    <col min="4866" max="4866" width="13" customWidth="1"/>
    <col min="4867" max="4867" width="15" customWidth="1"/>
    <col min="4869" max="4869" width="13.42578125" customWidth="1"/>
    <col min="4871" max="4871" width="13.42578125" customWidth="1"/>
    <col min="4873" max="4873" width="13.85546875" customWidth="1"/>
    <col min="4875" max="4875" width="14.42578125" customWidth="1"/>
    <col min="4877" max="4877" width="13.42578125" customWidth="1"/>
    <col min="4879" max="4879" width="12.28515625" customWidth="1"/>
    <col min="4880" max="4880" width="15" customWidth="1"/>
    <col min="4881" max="4881" width="23.5703125" customWidth="1"/>
    <col min="4882" max="4882" width="15" customWidth="1"/>
    <col min="4883" max="4883" width="12.28515625" bestFit="1" customWidth="1"/>
    <col min="5121" max="5121" width="14.5703125" customWidth="1"/>
    <col min="5122" max="5122" width="13" customWidth="1"/>
    <col min="5123" max="5123" width="15" customWidth="1"/>
    <col min="5125" max="5125" width="13.42578125" customWidth="1"/>
    <col min="5127" max="5127" width="13.42578125" customWidth="1"/>
    <col min="5129" max="5129" width="13.85546875" customWidth="1"/>
    <col min="5131" max="5131" width="14.42578125" customWidth="1"/>
    <col min="5133" max="5133" width="13.42578125" customWidth="1"/>
    <col min="5135" max="5135" width="12.28515625" customWidth="1"/>
    <col min="5136" max="5136" width="15" customWidth="1"/>
    <col min="5137" max="5137" width="23.5703125" customWidth="1"/>
    <col min="5138" max="5138" width="15" customWidth="1"/>
    <col min="5139" max="5139" width="12.28515625" bestFit="1" customWidth="1"/>
    <col min="5377" max="5377" width="14.5703125" customWidth="1"/>
    <col min="5378" max="5378" width="13" customWidth="1"/>
    <col min="5379" max="5379" width="15" customWidth="1"/>
    <col min="5381" max="5381" width="13.42578125" customWidth="1"/>
    <col min="5383" max="5383" width="13.42578125" customWidth="1"/>
    <col min="5385" max="5385" width="13.85546875" customWidth="1"/>
    <col min="5387" max="5387" width="14.42578125" customWidth="1"/>
    <col min="5389" max="5389" width="13.42578125" customWidth="1"/>
    <col min="5391" max="5391" width="12.28515625" customWidth="1"/>
    <col min="5392" max="5392" width="15" customWidth="1"/>
    <col min="5393" max="5393" width="23.5703125" customWidth="1"/>
    <col min="5394" max="5394" width="15" customWidth="1"/>
    <col min="5395" max="5395" width="12.28515625" bestFit="1" customWidth="1"/>
    <col min="5633" max="5633" width="14.5703125" customWidth="1"/>
    <col min="5634" max="5634" width="13" customWidth="1"/>
    <col min="5635" max="5635" width="15" customWidth="1"/>
    <col min="5637" max="5637" width="13.42578125" customWidth="1"/>
    <col min="5639" max="5639" width="13.42578125" customWidth="1"/>
    <col min="5641" max="5641" width="13.85546875" customWidth="1"/>
    <col min="5643" max="5643" width="14.42578125" customWidth="1"/>
    <col min="5645" max="5645" width="13.42578125" customWidth="1"/>
    <col min="5647" max="5647" width="12.28515625" customWidth="1"/>
    <col min="5648" max="5648" width="15" customWidth="1"/>
    <col min="5649" max="5649" width="23.5703125" customWidth="1"/>
    <col min="5650" max="5650" width="15" customWidth="1"/>
    <col min="5651" max="5651" width="12.28515625" bestFit="1" customWidth="1"/>
    <col min="5889" max="5889" width="14.5703125" customWidth="1"/>
    <col min="5890" max="5890" width="13" customWidth="1"/>
    <col min="5891" max="5891" width="15" customWidth="1"/>
    <col min="5893" max="5893" width="13.42578125" customWidth="1"/>
    <col min="5895" max="5895" width="13.42578125" customWidth="1"/>
    <col min="5897" max="5897" width="13.85546875" customWidth="1"/>
    <col min="5899" max="5899" width="14.42578125" customWidth="1"/>
    <col min="5901" max="5901" width="13.42578125" customWidth="1"/>
    <col min="5903" max="5903" width="12.28515625" customWidth="1"/>
    <col min="5904" max="5904" width="15" customWidth="1"/>
    <col min="5905" max="5905" width="23.5703125" customWidth="1"/>
    <col min="5906" max="5906" width="15" customWidth="1"/>
    <col min="5907" max="5907" width="12.28515625" bestFit="1" customWidth="1"/>
    <col min="6145" max="6145" width="14.5703125" customWidth="1"/>
    <col min="6146" max="6146" width="13" customWidth="1"/>
    <col min="6147" max="6147" width="15" customWidth="1"/>
    <col min="6149" max="6149" width="13.42578125" customWidth="1"/>
    <col min="6151" max="6151" width="13.42578125" customWidth="1"/>
    <col min="6153" max="6153" width="13.85546875" customWidth="1"/>
    <col min="6155" max="6155" width="14.42578125" customWidth="1"/>
    <col min="6157" max="6157" width="13.42578125" customWidth="1"/>
    <col min="6159" max="6159" width="12.28515625" customWidth="1"/>
    <col min="6160" max="6160" width="15" customWidth="1"/>
    <col min="6161" max="6161" width="23.5703125" customWidth="1"/>
    <col min="6162" max="6162" width="15" customWidth="1"/>
    <col min="6163" max="6163" width="12.28515625" bestFit="1" customWidth="1"/>
    <col min="6401" max="6401" width="14.5703125" customWidth="1"/>
    <col min="6402" max="6402" width="13" customWidth="1"/>
    <col min="6403" max="6403" width="15" customWidth="1"/>
    <col min="6405" max="6405" width="13.42578125" customWidth="1"/>
    <col min="6407" max="6407" width="13.42578125" customWidth="1"/>
    <col min="6409" max="6409" width="13.85546875" customWidth="1"/>
    <col min="6411" max="6411" width="14.42578125" customWidth="1"/>
    <col min="6413" max="6413" width="13.42578125" customWidth="1"/>
    <col min="6415" max="6415" width="12.28515625" customWidth="1"/>
    <col min="6416" max="6416" width="15" customWidth="1"/>
    <col min="6417" max="6417" width="23.5703125" customWidth="1"/>
    <col min="6418" max="6418" width="15" customWidth="1"/>
    <col min="6419" max="6419" width="12.28515625" bestFit="1" customWidth="1"/>
    <col min="6657" max="6657" width="14.5703125" customWidth="1"/>
    <col min="6658" max="6658" width="13" customWidth="1"/>
    <col min="6659" max="6659" width="15" customWidth="1"/>
    <col min="6661" max="6661" width="13.42578125" customWidth="1"/>
    <col min="6663" max="6663" width="13.42578125" customWidth="1"/>
    <col min="6665" max="6665" width="13.85546875" customWidth="1"/>
    <col min="6667" max="6667" width="14.42578125" customWidth="1"/>
    <col min="6669" max="6669" width="13.42578125" customWidth="1"/>
    <col min="6671" max="6671" width="12.28515625" customWidth="1"/>
    <col min="6672" max="6672" width="15" customWidth="1"/>
    <col min="6673" max="6673" width="23.5703125" customWidth="1"/>
    <col min="6674" max="6674" width="15" customWidth="1"/>
    <col min="6675" max="6675" width="12.28515625" bestFit="1" customWidth="1"/>
    <col min="6913" max="6913" width="14.5703125" customWidth="1"/>
    <col min="6914" max="6914" width="13" customWidth="1"/>
    <col min="6915" max="6915" width="15" customWidth="1"/>
    <col min="6917" max="6917" width="13.42578125" customWidth="1"/>
    <col min="6919" max="6919" width="13.42578125" customWidth="1"/>
    <col min="6921" max="6921" width="13.85546875" customWidth="1"/>
    <col min="6923" max="6923" width="14.42578125" customWidth="1"/>
    <col min="6925" max="6925" width="13.42578125" customWidth="1"/>
    <col min="6927" max="6927" width="12.28515625" customWidth="1"/>
    <col min="6928" max="6928" width="15" customWidth="1"/>
    <col min="6929" max="6929" width="23.5703125" customWidth="1"/>
    <col min="6930" max="6930" width="15" customWidth="1"/>
    <col min="6931" max="6931" width="12.28515625" bestFit="1" customWidth="1"/>
    <col min="7169" max="7169" width="14.5703125" customWidth="1"/>
    <col min="7170" max="7170" width="13" customWidth="1"/>
    <col min="7171" max="7171" width="15" customWidth="1"/>
    <col min="7173" max="7173" width="13.42578125" customWidth="1"/>
    <col min="7175" max="7175" width="13.42578125" customWidth="1"/>
    <col min="7177" max="7177" width="13.85546875" customWidth="1"/>
    <col min="7179" max="7179" width="14.42578125" customWidth="1"/>
    <col min="7181" max="7181" width="13.42578125" customWidth="1"/>
    <col min="7183" max="7183" width="12.28515625" customWidth="1"/>
    <col min="7184" max="7184" width="15" customWidth="1"/>
    <col min="7185" max="7185" width="23.5703125" customWidth="1"/>
    <col min="7186" max="7186" width="15" customWidth="1"/>
    <col min="7187" max="7187" width="12.28515625" bestFit="1" customWidth="1"/>
    <col min="7425" max="7425" width="14.5703125" customWidth="1"/>
    <col min="7426" max="7426" width="13" customWidth="1"/>
    <col min="7427" max="7427" width="15" customWidth="1"/>
    <col min="7429" max="7429" width="13.42578125" customWidth="1"/>
    <col min="7431" max="7431" width="13.42578125" customWidth="1"/>
    <col min="7433" max="7433" width="13.85546875" customWidth="1"/>
    <col min="7435" max="7435" width="14.42578125" customWidth="1"/>
    <col min="7437" max="7437" width="13.42578125" customWidth="1"/>
    <col min="7439" max="7439" width="12.28515625" customWidth="1"/>
    <col min="7440" max="7440" width="15" customWidth="1"/>
    <col min="7441" max="7441" width="23.5703125" customWidth="1"/>
    <col min="7442" max="7442" width="15" customWidth="1"/>
    <col min="7443" max="7443" width="12.28515625" bestFit="1" customWidth="1"/>
    <col min="7681" max="7681" width="14.5703125" customWidth="1"/>
    <col min="7682" max="7682" width="13" customWidth="1"/>
    <col min="7683" max="7683" width="15" customWidth="1"/>
    <col min="7685" max="7685" width="13.42578125" customWidth="1"/>
    <col min="7687" max="7687" width="13.42578125" customWidth="1"/>
    <col min="7689" max="7689" width="13.85546875" customWidth="1"/>
    <col min="7691" max="7691" width="14.42578125" customWidth="1"/>
    <col min="7693" max="7693" width="13.42578125" customWidth="1"/>
    <col min="7695" max="7695" width="12.28515625" customWidth="1"/>
    <col min="7696" max="7696" width="15" customWidth="1"/>
    <col min="7697" max="7697" width="23.5703125" customWidth="1"/>
    <col min="7698" max="7698" width="15" customWidth="1"/>
    <col min="7699" max="7699" width="12.28515625" bestFit="1" customWidth="1"/>
    <col min="7937" max="7937" width="14.5703125" customWidth="1"/>
    <col min="7938" max="7938" width="13" customWidth="1"/>
    <col min="7939" max="7939" width="15" customWidth="1"/>
    <col min="7941" max="7941" width="13.42578125" customWidth="1"/>
    <col min="7943" max="7943" width="13.42578125" customWidth="1"/>
    <col min="7945" max="7945" width="13.85546875" customWidth="1"/>
    <col min="7947" max="7947" width="14.42578125" customWidth="1"/>
    <col min="7949" max="7949" width="13.42578125" customWidth="1"/>
    <col min="7951" max="7951" width="12.28515625" customWidth="1"/>
    <col min="7952" max="7952" width="15" customWidth="1"/>
    <col min="7953" max="7953" width="23.5703125" customWidth="1"/>
    <col min="7954" max="7954" width="15" customWidth="1"/>
    <col min="7955" max="7955" width="12.28515625" bestFit="1" customWidth="1"/>
    <col min="8193" max="8193" width="14.5703125" customWidth="1"/>
    <col min="8194" max="8194" width="13" customWidth="1"/>
    <col min="8195" max="8195" width="15" customWidth="1"/>
    <col min="8197" max="8197" width="13.42578125" customWidth="1"/>
    <col min="8199" max="8199" width="13.42578125" customWidth="1"/>
    <col min="8201" max="8201" width="13.85546875" customWidth="1"/>
    <col min="8203" max="8203" width="14.42578125" customWidth="1"/>
    <col min="8205" max="8205" width="13.42578125" customWidth="1"/>
    <col min="8207" max="8207" width="12.28515625" customWidth="1"/>
    <col min="8208" max="8208" width="15" customWidth="1"/>
    <col min="8209" max="8209" width="23.5703125" customWidth="1"/>
    <col min="8210" max="8210" width="15" customWidth="1"/>
    <col min="8211" max="8211" width="12.28515625" bestFit="1" customWidth="1"/>
    <col min="8449" max="8449" width="14.5703125" customWidth="1"/>
    <col min="8450" max="8450" width="13" customWidth="1"/>
    <col min="8451" max="8451" width="15" customWidth="1"/>
    <col min="8453" max="8453" width="13.42578125" customWidth="1"/>
    <col min="8455" max="8455" width="13.42578125" customWidth="1"/>
    <col min="8457" max="8457" width="13.85546875" customWidth="1"/>
    <col min="8459" max="8459" width="14.42578125" customWidth="1"/>
    <col min="8461" max="8461" width="13.42578125" customWidth="1"/>
    <col min="8463" max="8463" width="12.28515625" customWidth="1"/>
    <col min="8464" max="8464" width="15" customWidth="1"/>
    <col min="8465" max="8465" width="23.5703125" customWidth="1"/>
    <col min="8466" max="8466" width="15" customWidth="1"/>
    <col min="8467" max="8467" width="12.28515625" bestFit="1" customWidth="1"/>
    <col min="8705" max="8705" width="14.5703125" customWidth="1"/>
    <col min="8706" max="8706" width="13" customWidth="1"/>
    <col min="8707" max="8707" width="15" customWidth="1"/>
    <col min="8709" max="8709" width="13.42578125" customWidth="1"/>
    <col min="8711" max="8711" width="13.42578125" customWidth="1"/>
    <col min="8713" max="8713" width="13.85546875" customWidth="1"/>
    <col min="8715" max="8715" width="14.42578125" customWidth="1"/>
    <col min="8717" max="8717" width="13.42578125" customWidth="1"/>
    <col min="8719" max="8719" width="12.28515625" customWidth="1"/>
    <col min="8720" max="8720" width="15" customWidth="1"/>
    <col min="8721" max="8721" width="23.5703125" customWidth="1"/>
    <col min="8722" max="8722" width="15" customWidth="1"/>
    <col min="8723" max="8723" width="12.28515625" bestFit="1" customWidth="1"/>
    <col min="8961" max="8961" width="14.5703125" customWidth="1"/>
    <col min="8962" max="8962" width="13" customWidth="1"/>
    <col min="8963" max="8963" width="15" customWidth="1"/>
    <col min="8965" max="8965" width="13.42578125" customWidth="1"/>
    <col min="8967" max="8967" width="13.42578125" customWidth="1"/>
    <col min="8969" max="8969" width="13.85546875" customWidth="1"/>
    <col min="8971" max="8971" width="14.42578125" customWidth="1"/>
    <col min="8973" max="8973" width="13.42578125" customWidth="1"/>
    <col min="8975" max="8975" width="12.28515625" customWidth="1"/>
    <col min="8976" max="8976" width="15" customWidth="1"/>
    <col min="8977" max="8977" width="23.5703125" customWidth="1"/>
    <col min="8978" max="8978" width="15" customWidth="1"/>
    <col min="8979" max="8979" width="12.28515625" bestFit="1" customWidth="1"/>
    <col min="9217" max="9217" width="14.5703125" customWidth="1"/>
    <col min="9218" max="9218" width="13" customWidth="1"/>
    <col min="9219" max="9219" width="15" customWidth="1"/>
    <col min="9221" max="9221" width="13.42578125" customWidth="1"/>
    <col min="9223" max="9223" width="13.42578125" customWidth="1"/>
    <col min="9225" max="9225" width="13.85546875" customWidth="1"/>
    <col min="9227" max="9227" width="14.42578125" customWidth="1"/>
    <col min="9229" max="9229" width="13.42578125" customWidth="1"/>
    <col min="9231" max="9231" width="12.28515625" customWidth="1"/>
    <col min="9232" max="9232" width="15" customWidth="1"/>
    <col min="9233" max="9233" width="23.5703125" customWidth="1"/>
    <col min="9234" max="9234" width="15" customWidth="1"/>
    <col min="9235" max="9235" width="12.28515625" bestFit="1" customWidth="1"/>
    <col min="9473" max="9473" width="14.5703125" customWidth="1"/>
    <col min="9474" max="9474" width="13" customWidth="1"/>
    <col min="9475" max="9475" width="15" customWidth="1"/>
    <col min="9477" max="9477" width="13.42578125" customWidth="1"/>
    <col min="9479" max="9479" width="13.42578125" customWidth="1"/>
    <col min="9481" max="9481" width="13.85546875" customWidth="1"/>
    <col min="9483" max="9483" width="14.42578125" customWidth="1"/>
    <col min="9485" max="9485" width="13.42578125" customWidth="1"/>
    <col min="9487" max="9487" width="12.28515625" customWidth="1"/>
    <col min="9488" max="9488" width="15" customWidth="1"/>
    <col min="9489" max="9489" width="23.5703125" customWidth="1"/>
    <col min="9490" max="9490" width="15" customWidth="1"/>
    <col min="9491" max="9491" width="12.28515625" bestFit="1" customWidth="1"/>
    <col min="9729" max="9729" width="14.5703125" customWidth="1"/>
    <col min="9730" max="9730" width="13" customWidth="1"/>
    <col min="9731" max="9731" width="15" customWidth="1"/>
    <col min="9733" max="9733" width="13.42578125" customWidth="1"/>
    <col min="9735" max="9735" width="13.42578125" customWidth="1"/>
    <col min="9737" max="9737" width="13.85546875" customWidth="1"/>
    <col min="9739" max="9739" width="14.42578125" customWidth="1"/>
    <col min="9741" max="9741" width="13.42578125" customWidth="1"/>
    <col min="9743" max="9743" width="12.28515625" customWidth="1"/>
    <col min="9744" max="9744" width="15" customWidth="1"/>
    <col min="9745" max="9745" width="23.5703125" customWidth="1"/>
    <col min="9746" max="9746" width="15" customWidth="1"/>
    <col min="9747" max="9747" width="12.28515625" bestFit="1" customWidth="1"/>
    <col min="9985" max="9985" width="14.5703125" customWidth="1"/>
    <col min="9986" max="9986" width="13" customWidth="1"/>
    <col min="9987" max="9987" width="15" customWidth="1"/>
    <col min="9989" max="9989" width="13.42578125" customWidth="1"/>
    <col min="9991" max="9991" width="13.42578125" customWidth="1"/>
    <col min="9993" max="9993" width="13.85546875" customWidth="1"/>
    <col min="9995" max="9995" width="14.42578125" customWidth="1"/>
    <col min="9997" max="9997" width="13.42578125" customWidth="1"/>
    <col min="9999" max="9999" width="12.28515625" customWidth="1"/>
    <col min="10000" max="10000" width="15" customWidth="1"/>
    <col min="10001" max="10001" width="23.5703125" customWidth="1"/>
    <col min="10002" max="10002" width="15" customWidth="1"/>
    <col min="10003" max="10003" width="12.28515625" bestFit="1" customWidth="1"/>
    <col min="10241" max="10241" width="14.5703125" customWidth="1"/>
    <col min="10242" max="10242" width="13" customWidth="1"/>
    <col min="10243" max="10243" width="15" customWidth="1"/>
    <col min="10245" max="10245" width="13.42578125" customWidth="1"/>
    <col min="10247" max="10247" width="13.42578125" customWidth="1"/>
    <col min="10249" max="10249" width="13.85546875" customWidth="1"/>
    <col min="10251" max="10251" width="14.42578125" customWidth="1"/>
    <col min="10253" max="10253" width="13.42578125" customWidth="1"/>
    <col min="10255" max="10255" width="12.28515625" customWidth="1"/>
    <col min="10256" max="10256" width="15" customWidth="1"/>
    <col min="10257" max="10257" width="23.5703125" customWidth="1"/>
    <col min="10258" max="10258" width="15" customWidth="1"/>
    <col min="10259" max="10259" width="12.28515625" bestFit="1" customWidth="1"/>
    <col min="10497" max="10497" width="14.5703125" customWidth="1"/>
    <col min="10498" max="10498" width="13" customWidth="1"/>
    <col min="10499" max="10499" width="15" customWidth="1"/>
    <col min="10501" max="10501" width="13.42578125" customWidth="1"/>
    <col min="10503" max="10503" width="13.42578125" customWidth="1"/>
    <col min="10505" max="10505" width="13.85546875" customWidth="1"/>
    <col min="10507" max="10507" width="14.42578125" customWidth="1"/>
    <col min="10509" max="10509" width="13.42578125" customWidth="1"/>
    <col min="10511" max="10511" width="12.28515625" customWidth="1"/>
    <col min="10512" max="10512" width="15" customWidth="1"/>
    <col min="10513" max="10513" width="23.5703125" customWidth="1"/>
    <col min="10514" max="10514" width="15" customWidth="1"/>
    <col min="10515" max="10515" width="12.28515625" bestFit="1" customWidth="1"/>
    <col min="10753" max="10753" width="14.5703125" customWidth="1"/>
    <col min="10754" max="10754" width="13" customWidth="1"/>
    <col min="10755" max="10755" width="15" customWidth="1"/>
    <col min="10757" max="10757" width="13.42578125" customWidth="1"/>
    <col min="10759" max="10759" width="13.42578125" customWidth="1"/>
    <col min="10761" max="10761" width="13.85546875" customWidth="1"/>
    <col min="10763" max="10763" width="14.42578125" customWidth="1"/>
    <col min="10765" max="10765" width="13.42578125" customWidth="1"/>
    <col min="10767" max="10767" width="12.28515625" customWidth="1"/>
    <col min="10768" max="10768" width="15" customWidth="1"/>
    <col min="10769" max="10769" width="23.5703125" customWidth="1"/>
    <col min="10770" max="10770" width="15" customWidth="1"/>
    <col min="10771" max="10771" width="12.28515625" bestFit="1" customWidth="1"/>
    <col min="11009" max="11009" width="14.5703125" customWidth="1"/>
    <col min="11010" max="11010" width="13" customWidth="1"/>
    <col min="11011" max="11011" width="15" customWidth="1"/>
    <col min="11013" max="11013" width="13.42578125" customWidth="1"/>
    <col min="11015" max="11015" width="13.42578125" customWidth="1"/>
    <col min="11017" max="11017" width="13.85546875" customWidth="1"/>
    <col min="11019" max="11019" width="14.42578125" customWidth="1"/>
    <col min="11021" max="11021" width="13.42578125" customWidth="1"/>
    <col min="11023" max="11023" width="12.28515625" customWidth="1"/>
    <col min="11024" max="11024" width="15" customWidth="1"/>
    <col min="11025" max="11025" width="23.5703125" customWidth="1"/>
    <col min="11026" max="11026" width="15" customWidth="1"/>
    <col min="11027" max="11027" width="12.28515625" bestFit="1" customWidth="1"/>
    <col min="11265" max="11265" width="14.5703125" customWidth="1"/>
    <col min="11266" max="11266" width="13" customWidth="1"/>
    <col min="11267" max="11267" width="15" customWidth="1"/>
    <col min="11269" max="11269" width="13.42578125" customWidth="1"/>
    <col min="11271" max="11271" width="13.42578125" customWidth="1"/>
    <col min="11273" max="11273" width="13.85546875" customWidth="1"/>
    <col min="11275" max="11275" width="14.42578125" customWidth="1"/>
    <col min="11277" max="11277" width="13.42578125" customWidth="1"/>
    <col min="11279" max="11279" width="12.28515625" customWidth="1"/>
    <col min="11280" max="11280" width="15" customWidth="1"/>
    <col min="11281" max="11281" width="23.5703125" customWidth="1"/>
    <col min="11282" max="11282" width="15" customWidth="1"/>
    <col min="11283" max="11283" width="12.28515625" bestFit="1" customWidth="1"/>
    <col min="11521" max="11521" width="14.5703125" customWidth="1"/>
    <col min="11522" max="11522" width="13" customWidth="1"/>
    <col min="11523" max="11523" width="15" customWidth="1"/>
    <col min="11525" max="11525" width="13.42578125" customWidth="1"/>
    <col min="11527" max="11527" width="13.42578125" customWidth="1"/>
    <col min="11529" max="11529" width="13.85546875" customWidth="1"/>
    <col min="11531" max="11531" width="14.42578125" customWidth="1"/>
    <col min="11533" max="11533" width="13.42578125" customWidth="1"/>
    <col min="11535" max="11535" width="12.28515625" customWidth="1"/>
    <col min="11536" max="11536" width="15" customWidth="1"/>
    <col min="11537" max="11537" width="23.5703125" customWidth="1"/>
    <col min="11538" max="11538" width="15" customWidth="1"/>
    <col min="11539" max="11539" width="12.28515625" bestFit="1" customWidth="1"/>
    <col min="11777" max="11777" width="14.5703125" customWidth="1"/>
    <col min="11778" max="11778" width="13" customWidth="1"/>
    <col min="11779" max="11779" width="15" customWidth="1"/>
    <col min="11781" max="11781" width="13.42578125" customWidth="1"/>
    <col min="11783" max="11783" width="13.42578125" customWidth="1"/>
    <col min="11785" max="11785" width="13.85546875" customWidth="1"/>
    <col min="11787" max="11787" width="14.42578125" customWidth="1"/>
    <col min="11789" max="11789" width="13.42578125" customWidth="1"/>
    <col min="11791" max="11791" width="12.28515625" customWidth="1"/>
    <col min="11792" max="11792" width="15" customWidth="1"/>
    <col min="11793" max="11793" width="23.5703125" customWidth="1"/>
    <col min="11794" max="11794" width="15" customWidth="1"/>
    <col min="11795" max="11795" width="12.28515625" bestFit="1" customWidth="1"/>
    <col min="12033" max="12033" width="14.5703125" customWidth="1"/>
    <col min="12034" max="12034" width="13" customWidth="1"/>
    <col min="12035" max="12035" width="15" customWidth="1"/>
    <col min="12037" max="12037" width="13.42578125" customWidth="1"/>
    <col min="12039" max="12039" width="13.42578125" customWidth="1"/>
    <col min="12041" max="12041" width="13.85546875" customWidth="1"/>
    <col min="12043" max="12043" width="14.42578125" customWidth="1"/>
    <col min="12045" max="12045" width="13.42578125" customWidth="1"/>
    <col min="12047" max="12047" width="12.28515625" customWidth="1"/>
    <col min="12048" max="12048" width="15" customWidth="1"/>
    <col min="12049" max="12049" width="23.5703125" customWidth="1"/>
    <col min="12050" max="12050" width="15" customWidth="1"/>
    <col min="12051" max="12051" width="12.28515625" bestFit="1" customWidth="1"/>
    <col min="12289" max="12289" width="14.5703125" customWidth="1"/>
    <col min="12290" max="12290" width="13" customWidth="1"/>
    <col min="12291" max="12291" width="15" customWidth="1"/>
    <col min="12293" max="12293" width="13.42578125" customWidth="1"/>
    <col min="12295" max="12295" width="13.42578125" customWidth="1"/>
    <col min="12297" max="12297" width="13.85546875" customWidth="1"/>
    <col min="12299" max="12299" width="14.42578125" customWidth="1"/>
    <col min="12301" max="12301" width="13.42578125" customWidth="1"/>
    <col min="12303" max="12303" width="12.28515625" customWidth="1"/>
    <col min="12304" max="12304" width="15" customWidth="1"/>
    <col min="12305" max="12305" width="23.5703125" customWidth="1"/>
    <col min="12306" max="12306" width="15" customWidth="1"/>
    <col min="12307" max="12307" width="12.28515625" bestFit="1" customWidth="1"/>
    <col min="12545" max="12545" width="14.5703125" customWidth="1"/>
    <col min="12546" max="12546" width="13" customWidth="1"/>
    <col min="12547" max="12547" width="15" customWidth="1"/>
    <col min="12549" max="12549" width="13.42578125" customWidth="1"/>
    <col min="12551" max="12551" width="13.42578125" customWidth="1"/>
    <col min="12553" max="12553" width="13.85546875" customWidth="1"/>
    <col min="12555" max="12555" width="14.42578125" customWidth="1"/>
    <col min="12557" max="12557" width="13.42578125" customWidth="1"/>
    <col min="12559" max="12559" width="12.28515625" customWidth="1"/>
    <col min="12560" max="12560" width="15" customWidth="1"/>
    <col min="12561" max="12561" width="23.5703125" customWidth="1"/>
    <col min="12562" max="12562" width="15" customWidth="1"/>
    <col min="12563" max="12563" width="12.28515625" bestFit="1" customWidth="1"/>
    <col min="12801" max="12801" width="14.5703125" customWidth="1"/>
    <col min="12802" max="12802" width="13" customWidth="1"/>
    <col min="12803" max="12803" width="15" customWidth="1"/>
    <col min="12805" max="12805" width="13.42578125" customWidth="1"/>
    <col min="12807" max="12807" width="13.42578125" customWidth="1"/>
    <col min="12809" max="12809" width="13.85546875" customWidth="1"/>
    <col min="12811" max="12811" width="14.42578125" customWidth="1"/>
    <col min="12813" max="12813" width="13.42578125" customWidth="1"/>
    <col min="12815" max="12815" width="12.28515625" customWidth="1"/>
    <col min="12816" max="12816" width="15" customWidth="1"/>
    <col min="12817" max="12817" width="23.5703125" customWidth="1"/>
    <col min="12818" max="12818" width="15" customWidth="1"/>
    <col min="12819" max="12819" width="12.28515625" bestFit="1" customWidth="1"/>
    <col min="13057" max="13057" width="14.5703125" customWidth="1"/>
    <col min="13058" max="13058" width="13" customWidth="1"/>
    <col min="13059" max="13059" width="15" customWidth="1"/>
    <col min="13061" max="13061" width="13.42578125" customWidth="1"/>
    <col min="13063" max="13063" width="13.42578125" customWidth="1"/>
    <col min="13065" max="13065" width="13.85546875" customWidth="1"/>
    <col min="13067" max="13067" width="14.42578125" customWidth="1"/>
    <col min="13069" max="13069" width="13.42578125" customWidth="1"/>
    <col min="13071" max="13071" width="12.28515625" customWidth="1"/>
    <col min="13072" max="13072" width="15" customWidth="1"/>
    <col min="13073" max="13073" width="23.5703125" customWidth="1"/>
    <col min="13074" max="13074" width="15" customWidth="1"/>
    <col min="13075" max="13075" width="12.28515625" bestFit="1" customWidth="1"/>
    <col min="13313" max="13313" width="14.5703125" customWidth="1"/>
    <col min="13314" max="13314" width="13" customWidth="1"/>
    <col min="13315" max="13315" width="15" customWidth="1"/>
    <col min="13317" max="13317" width="13.42578125" customWidth="1"/>
    <col min="13319" max="13319" width="13.42578125" customWidth="1"/>
    <col min="13321" max="13321" width="13.85546875" customWidth="1"/>
    <col min="13323" max="13323" width="14.42578125" customWidth="1"/>
    <col min="13325" max="13325" width="13.42578125" customWidth="1"/>
    <col min="13327" max="13327" width="12.28515625" customWidth="1"/>
    <col min="13328" max="13328" width="15" customWidth="1"/>
    <col min="13329" max="13329" width="23.5703125" customWidth="1"/>
    <col min="13330" max="13330" width="15" customWidth="1"/>
    <col min="13331" max="13331" width="12.28515625" bestFit="1" customWidth="1"/>
    <col min="13569" max="13569" width="14.5703125" customWidth="1"/>
    <col min="13570" max="13570" width="13" customWidth="1"/>
    <col min="13571" max="13571" width="15" customWidth="1"/>
    <col min="13573" max="13573" width="13.42578125" customWidth="1"/>
    <col min="13575" max="13575" width="13.42578125" customWidth="1"/>
    <col min="13577" max="13577" width="13.85546875" customWidth="1"/>
    <col min="13579" max="13579" width="14.42578125" customWidth="1"/>
    <col min="13581" max="13581" width="13.42578125" customWidth="1"/>
    <col min="13583" max="13583" width="12.28515625" customWidth="1"/>
    <col min="13584" max="13584" width="15" customWidth="1"/>
    <col min="13585" max="13585" width="23.5703125" customWidth="1"/>
    <col min="13586" max="13586" width="15" customWidth="1"/>
    <col min="13587" max="13587" width="12.28515625" bestFit="1" customWidth="1"/>
    <col min="13825" max="13825" width="14.5703125" customWidth="1"/>
    <col min="13826" max="13826" width="13" customWidth="1"/>
    <col min="13827" max="13827" width="15" customWidth="1"/>
    <col min="13829" max="13829" width="13.42578125" customWidth="1"/>
    <col min="13831" max="13831" width="13.42578125" customWidth="1"/>
    <col min="13833" max="13833" width="13.85546875" customWidth="1"/>
    <col min="13835" max="13835" width="14.42578125" customWidth="1"/>
    <col min="13837" max="13837" width="13.42578125" customWidth="1"/>
    <col min="13839" max="13839" width="12.28515625" customWidth="1"/>
    <col min="13840" max="13840" width="15" customWidth="1"/>
    <col min="13841" max="13841" width="23.5703125" customWidth="1"/>
    <col min="13842" max="13842" width="15" customWidth="1"/>
    <col min="13843" max="13843" width="12.28515625" bestFit="1" customWidth="1"/>
    <col min="14081" max="14081" width="14.5703125" customWidth="1"/>
    <col min="14082" max="14082" width="13" customWidth="1"/>
    <col min="14083" max="14083" width="15" customWidth="1"/>
    <col min="14085" max="14085" width="13.42578125" customWidth="1"/>
    <col min="14087" max="14087" width="13.42578125" customWidth="1"/>
    <col min="14089" max="14089" width="13.85546875" customWidth="1"/>
    <col min="14091" max="14091" width="14.42578125" customWidth="1"/>
    <col min="14093" max="14093" width="13.42578125" customWidth="1"/>
    <col min="14095" max="14095" width="12.28515625" customWidth="1"/>
    <col min="14096" max="14096" width="15" customWidth="1"/>
    <col min="14097" max="14097" width="23.5703125" customWidth="1"/>
    <col min="14098" max="14098" width="15" customWidth="1"/>
    <col min="14099" max="14099" width="12.28515625" bestFit="1" customWidth="1"/>
    <col min="14337" max="14337" width="14.5703125" customWidth="1"/>
    <col min="14338" max="14338" width="13" customWidth="1"/>
    <col min="14339" max="14339" width="15" customWidth="1"/>
    <col min="14341" max="14341" width="13.42578125" customWidth="1"/>
    <col min="14343" max="14343" width="13.42578125" customWidth="1"/>
    <col min="14345" max="14345" width="13.85546875" customWidth="1"/>
    <col min="14347" max="14347" width="14.42578125" customWidth="1"/>
    <col min="14349" max="14349" width="13.42578125" customWidth="1"/>
    <col min="14351" max="14351" width="12.28515625" customWidth="1"/>
    <col min="14352" max="14352" width="15" customWidth="1"/>
    <col min="14353" max="14353" width="23.5703125" customWidth="1"/>
    <col min="14354" max="14354" width="15" customWidth="1"/>
    <col min="14355" max="14355" width="12.28515625" bestFit="1" customWidth="1"/>
    <col min="14593" max="14593" width="14.5703125" customWidth="1"/>
    <col min="14594" max="14594" width="13" customWidth="1"/>
    <col min="14595" max="14595" width="15" customWidth="1"/>
    <col min="14597" max="14597" width="13.42578125" customWidth="1"/>
    <col min="14599" max="14599" width="13.42578125" customWidth="1"/>
    <col min="14601" max="14601" width="13.85546875" customWidth="1"/>
    <col min="14603" max="14603" width="14.42578125" customWidth="1"/>
    <col min="14605" max="14605" width="13.42578125" customWidth="1"/>
    <col min="14607" max="14607" width="12.28515625" customWidth="1"/>
    <col min="14608" max="14608" width="15" customWidth="1"/>
    <col min="14609" max="14609" width="23.5703125" customWidth="1"/>
    <col min="14610" max="14610" width="15" customWidth="1"/>
    <col min="14611" max="14611" width="12.28515625" bestFit="1" customWidth="1"/>
    <col min="14849" max="14849" width="14.5703125" customWidth="1"/>
    <col min="14850" max="14850" width="13" customWidth="1"/>
    <col min="14851" max="14851" width="15" customWidth="1"/>
    <col min="14853" max="14853" width="13.42578125" customWidth="1"/>
    <col min="14855" max="14855" width="13.42578125" customWidth="1"/>
    <col min="14857" max="14857" width="13.85546875" customWidth="1"/>
    <col min="14859" max="14859" width="14.42578125" customWidth="1"/>
    <col min="14861" max="14861" width="13.42578125" customWidth="1"/>
    <col min="14863" max="14863" width="12.28515625" customWidth="1"/>
    <col min="14864" max="14864" width="15" customWidth="1"/>
    <col min="14865" max="14865" width="23.5703125" customWidth="1"/>
    <col min="14866" max="14866" width="15" customWidth="1"/>
    <col min="14867" max="14867" width="12.28515625" bestFit="1" customWidth="1"/>
    <col min="15105" max="15105" width="14.5703125" customWidth="1"/>
    <col min="15106" max="15106" width="13" customWidth="1"/>
    <col min="15107" max="15107" width="15" customWidth="1"/>
    <col min="15109" max="15109" width="13.42578125" customWidth="1"/>
    <col min="15111" max="15111" width="13.42578125" customWidth="1"/>
    <col min="15113" max="15113" width="13.85546875" customWidth="1"/>
    <col min="15115" max="15115" width="14.42578125" customWidth="1"/>
    <col min="15117" max="15117" width="13.42578125" customWidth="1"/>
    <col min="15119" max="15119" width="12.28515625" customWidth="1"/>
    <col min="15120" max="15120" width="15" customWidth="1"/>
    <col min="15121" max="15121" width="23.5703125" customWidth="1"/>
    <col min="15122" max="15122" width="15" customWidth="1"/>
    <col min="15123" max="15123" width="12.28515625" bestFit="1" customWidth="1"/>
    <col min="15361" max="15361" width="14.5703125" customWidth="1"/>
    <col min="15362" max="15362" width="13" customWidth="1"/>
    <col min="15363" max="15363" width="15" customWidth="1"/>
    <col min="15365" max="15365" width="13.42578125" customWidth="1"/>
    <col min="15367" max="15367" width="13.42578125" customWidth="1"/>
    <col min="15369" max="15369" width="13.85546875" customWidth="1"/>
    <col min="15371" max="15371" width="14.42578125" customWidth="1"/>
    <col min="15373" max="15373" width="13.42578125" customWidth="1"/>
    <col min="15375" max="15375" width="12.28515625" customWidth="1"/>
    <col min="15376" max="15376" width="15" customWidth="1"/>
    <col min="15377" max="15377" width="23.5703125" customWidth="1"/>
    <col min="15378" max="15378" width="15" customWidth="1"/>
    <col min="15379" max="15379" width="12.28515625" bestFit="1" customWidth="1"/>
    <col min="15617" max="15617" width="14.5703125" customWidth="1"/>
    <col min="15618" max="15618" width="13" customWidth="1"/>
    <col min="15619" max="15619" width="15" customWidth="1"/>
    <col min="15621" max="15621" width="13.42578125" customWidth="1"/>
    <col min="15623" max="15623" width="13.42578125" customWidth="1"/>
    <col min="15625" max="15625" width="13.85546875" customWidth="1"/>
    <col min="15627" max="15627" width="14.42578125" customWidth="1"/>
    <col min="15629" max="15629" width="13.42578125" customWidth="1"/>
    <col min="15631" max="15631" width="12.28515625" customWidth="1"/>
    <col min="15632" max="15632" width="15" customWidth="1"/>
    <col min="15633" max="15633" width="23.5703125" customWidth="1"/>
    <col min="15634" max="15634" width="15" customWidth="1"/>
    <col min="15635" max="15635" width="12.28515625" bestFit="1" customWidth="1"/>
    <col min="15873" max="15873" width="14.5703125" customWidth="1"/>
    <col min="15874" max="15874" width="13" customWidth="1"/>
    <col min="15875" max="15875" width="15" customWidth="1"/>
    <col min="15877" max="15877" width="13.42578125" customWidth="1"/>
    <col min="15879" max="15879" width="13.42578125" customWidth="1"/>
    <col min="15881" max="15881" width="13.85546875" customWidth="1"/>
    <col min="15883" max="15883" width="14.42578125" customWidth="1"/>
    <col min="15885" max="15885" width="13.42578125" customWidth="1"/>
    <col min="15887" max="15887" width="12.28515625" customWidth="1"/>
    <col min="15888" max="15888" width="15" customWidth="1"/>
    <col min="15889" max="15889" width="23.5703125" customWidth="1"/>
    <col min="15890" max="15890" width="15" customWidth="1"/>
    <col min="15891" max="15891" width="12.28515625" bestFit="1" customWidth="1"/>
    <col min="16129" max="16129" width="14.5703125" customWidth="1"/>
    <col min="16130" max="16130" width="13" customWidth="1"/>
    <col min="16131" max="16131" width="15" customWidth="1"/>
    <col min="16133" max="16133" width="13.42578125" customWidth="1"/>
    <col min="16135" max="16135" width="13.42578125" customWidth="1"/>
    <col min="16137" max="16137" width="13.85546875" customWidth="1"/>
    <col min="16139" max="16139" width="14.42578125" customWidth="1"/>
    <col min="16141" max="16141" width="13.42578125" customWidth="1"/>
    <col min="16143" max="16143" width="12.28515625" customWidth="1"/>
    <col min="16144" max="16144" width="15" customWidth="1"/>
    <col min="16145" max="16145" width="23.5703125" customWidth="1"/>
    <col min="16146" max="16146" width="15" customWidth="1"/>
    <col min="16147" max="16147" width="12.28515625" bestFit="1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13</v>
      </c>
      <c r="B6">
        <v>0</v>
      </c>
      <c r="C6">
        <v>882.64287999999999</v>
      </c>
      <c r="E6">
        <v>863.31475999999998</v>
      </c>
      <c r="F6">
        <v>1</v>
      </c>
      <c r="G6">
        <v>335.63585999999998</v>
      </c>
      <c r="H6">
        <v>1</v>
      </c>
      <c r="I6">
        <v>125.139994</v>
      </c>
      <c r="J6">
        <v>2</v>
      </c>
      <c r="K6">
        <v>49.531859999999995</v>
      </c>
      <c r="L6">
        <v>3</v>
      </c>
      <c r="M6">
        <v>21.520225999999997</v>
      </c>
      <c r="N6">
        <v>2</v>
      </c>
      <c r="O6">
        <v>9.311040199999999</v>
      </c>
      <c r="P6" s="3">
        <f>(B6*C6)+(D6*E6)+(F6*G6)+(H6*I6)+(J6*K6)+(L6*M6)+(N6*O6)</f>
        <v>643.02233239999987</v>
      </c>
      <c r="S6" s="21"/>
    </row>
    <row r="7" spans="1:19" x14ac:dyDescent="0.2">
      <c r="A7">
        <v>20000</v>
      </c>
      <c r="B7">
        <v>55</v>
      </c>
      <c r="C7">
        <v>882.64287999999999</v>
      </c>
      <c r="D7">
        <v>18</v>
      </c>
      <c r="E7">
        <v>863.31475999999998</v>
      </c>
      <c r="F7">
        <v>41</v>
      </c>
      <c r="G7">
        <v>335.63585999999998</v>
      </c>
      <c r="H7">
        <v>86</v>
      </c>
      <c r="I7">
        <v>125.139994</v>
      </c>
      <c r="J7">
        <v>163</v>
      </c>
      <c r="K7">
        <v>49.531859999999995</v>
      </c>
      <c r="L7">
        <v>187</v>
      </c>
      <c r="M7">
        <v>21.520225999999997</v>
      </c>
      <c r="N7">
        <v>185</v>
      </c>
      <c r="O7">
        <v>9.311040199999999</v>
      </c>
      <c r="P7" s="3">
        <f t="shared" ref="P7:P24" si="0">(B7*C7)+(D7*E7)+(F7*G7)+(H7*I7)+(J7*K7)+(L7*M7)+(N7*O7)</f>
        <v>102428.65170299998</v>
      </c>
      <c r="S7" s="21"/>
    </row>
    <row r="8" spans="1:19" x14ac:dyDescent="0.2">
      <c r="A8">
        <v>30000</v>
      </c>
      <c r="B8">
        <v>47</v>
      </c>
      <c r="C8">
        <v>882.64287999999999</v>
      </c>
      <c r="D8">
        <v>23</v>
      </c>
      <c r="E8">
        <v>863.31475999999998</v>
      </c>
      <c r="F8">
        <v>38</v>
      </c>
      <c r="G8">
        <v>335.63585999999998</v>
      </c>
      <c r="H8">
        <v>98</v>
      </c>
      <c r="I8">
        <v>125.139994</v>
      </c>
      <c r="J8">
        <v>167</v>
      </c>
      <c r="K8">
        <v>49.531859999999995</v>
      </c>
      <c r="L8">
        <v>202</v>
      </c>
      <c r="M8">
        <v>21.520225999999997</v>
      </c>
      <c r="N8">
        <v>185</v>
      </c>
      <c r="O8">
        <v>9.311040199999999</v>
      </c>
      <c r="P8" s="3">
        <f t="shared" si="0"/>
        <v>100699.78564099999</v>
      </c>
      <c r="S8" s="21"/>
    </row>
    <row r="9" spans="1:19" x14ac:dyDescent="0.2">
      <c r="A9">
        <v>40000</v>
      </c>
      <c r="B9">
        <v>35</v>
      </c>
      <c r="C9">
        <v>882.64287999999999</v>
      </c>
      <c r="D9">
        <v>15</v>
      </c>
      <c r="E9">
        <v>863.31475999999998</v>
      </c>
      <c r="F9">
        <v>31</v>
      </c>
      <c r="G9">
        <v>335.63585999999998</v>
      </c>
      <c r="H9">
        <v>105</v>
      </c>
      <c r="I9">
        <v>125.139994</v>
      </c>
      <c r="J9">
        <v>212</v>
      </c>
      <c r="K9">
        <v>49.531859999999995</v>
      </c>
      <c r="L9">
        <v>299</v>
      </c>
      <c r="M9">
        <v>21.520225999999997</v>
      </c>
      <c r="N9">
        <v>266</v>
      </c>
      <c r="O9">
        <v>9.311040199999999</v>
      </c>
      <c r="P9" s="3">
        <f t="shared" si="0"/>
        <v>86798.671817199982</v>
      </c>
      <c r="S9" s="21"/>
    </row>
    <row r="10" spans="1:19" x14ac:dyDescent="0.2">
      <c r="A10">
        <v>50000</v>
      </c>
      <c r="B10">
        <v>18</v>
      </c>
      <c r="C10">
        <v>882.64287999999999</v>
      </c>
      <c r="D10">
        <v>17</v>
      </c>
      <c r="E10">
        <v>863.31475999999998</v>
      </c>
      <c r="F10">
        <v>32</v>
      </c>
      <c r="G10">
        <v>335.63585999999998</v>
      </c>
      <c r="H10">
        <v>82</v>
      </c>
      <c r="I10">
        <v>125.139994</v>
      </c>
      <c r="J10">
        <v>194</v>
      </c>
      <c r="K10">
        <v>49.531859999999995</v>
      </c>
      <c r="L10">
        <v>238</v>
      </c>
      <c r="M10">
        <v>21.520225999999997</v>
      </c>
      <c r="N10">
        <v>245</v>
      </c>
      <c r="O10">
        <v>9.311040199999999</v>
      </c>
      <c r="P10" s="3">
        <f t="shared" si="0"/>
        <v>68577.949265000003</v>
      </c>
      <c r="S10" s="21"/>
    </row>
    <row r="11" spans="1:19" x14ac:dyDescent="0.2">
      <c r="A11">
        <v>60000</v>
      </c>
      <c r="B11">
        <v>8</v>
      </c>
      <c r="C11">
        <v>882.64287999999999</v>
      </c>
      <c r="D11">
        <v>13</v>
      </c>
      <c r="E11">
        <v>863.31475999999998</v>
      </c>
      <c r="F11">
        <v>38</v>
      </c>
      <c r="G11">
        <v>335.63585999999998</v>
      </c>
      <c r="H11">
        <v>86</v>
      </c>
      <c r="I11">
        <v>125.139994</v>
      </c>
      <c r="J11">
        <v>182</v>
      </c>
      <c r="K11">
        <v>49.531859999999995</v>
      </c>
      <c r="L11">
        <v>172</v>
      </c>
      <c r="M11">
        <v>21.520225999999997</v>
      </c>
      <c r="N11">
        <v>174</v>
      </c>
      <c r="O11">
        <v>9.311040199999999</v>
      </c>
      <c r="P11" s="3">
        <f t="shared" si="0"/>
        <v>56136.835470799997</v>
      </c>
      <c r="S11" s="21"/>
    </row>
    <row r="12" spans="1:19" x14ac:dyDescent="0.2">
      <c r="A12">
        <v>70000</v>
      </c>
      <c r="B12">
        <v>5</v>
      </c>
      <c r="C12">
        <v>882.64287999999999</v>
      </c>
      <c r="D12">
        <v>7</v>
      </c>
      <c r="E12">
        <v>863.31475999999998</v>
      </c>
      <c r="F12">
        <v>32</v>
      </c>
      <c r="G12">
        <v>335.63585999999998</v>
      </c>
      <c r="H12">
        <v>69</v>
      </c>
      <c r="I12">
        <v>125.139994</v>
      </c>
      <c r="J12">
        <v>142</v>
      </c>
      <c r="K12">
        <v>49.531859999999995</v>
      </c>
      <c r="L12">
        <v>156</v>
      </c>
      <c r="M12">
        <v>21.520225999999997</v>
      </c>
      <c r="N12">
        <v>141</v>
      </c>
      <c r="O12">
        <v>9.311040199999999</v>
      </c>
      <c r="P12" s="3">
        <f t="shared" si="0"/>
        <v>41534.960870200004</v>
      </c>
      <c r="S12" s="21"/>
    </row>
    <row r="13" spans="1:19" x14ac:dyDescent="0.2">
      <c r="A13">
        <v>80000</v>
      </c>
      <c r="B13">
        <v>4</v>
      </c>
      <c r="C13">
        <v>882.64287999999999</v>
      </c>
      <c r="D13">
        <v>7</v>
      </c>
      <c r="E13">
        <v>863.31475999999998</v>
      </c>
      <c r="F13">
        <v>17</v>
      </c>
      <c r="G13">
        <v>335.63585999999998</v>
      </c>
      <c r="H13">
        <v>45</v>
      </c>
      <c r="I13">
        <v>125.139994</v>
      </c>
      <c r="J13">
        <v>108</v>
      </c>
      <c r="K13">
        <v>49.531859999999995</v>
      </c>
      <c r="L13">
        <v>132</v>
      </c>
      <c r="M13">
        <v>21.520225999999997</v>
      </c>
      <c r="N13">
        <v>100</v>
      </c>
      <c r="O13">
        <v>9.311040199999999</v>
      </c>
      <c r="P13" s="3">
        <f t="shared" si="0"/>
        <v>30032.098921999997</v>
      </c>
      <c r="Q13" s="3">
        <f t="shared" ref="Q13:Q22" si="1">Q14+P13</f>
        <v>225302.98188580002</v>
      </c>
      <c r="R13">
        <v>4519251</v>
      </c>
      <c r="S13" s="24">
        <f t="shared" ref="S13:S23" si="2">(Q13/R13)*100</f>
        <v>4.9854053666370826</v>
      </c>
    </row>
    <row r="14" spans="1:19" x14ac:dyDescent="0.2">
      <c r="A14">
        <v>90000</v>
      </c>
      <c r="B14">
        <v>1</v>
      </c>
      <c r="C14">
        <v>882.64287999999999</v>
      </c>
      <c r="D14">
        <v>5</v>
      </c>
      <c r="E14">
        <v>863.31475999999998</v>
      </c>
      <c r="F14">
        <v>18</v>
      </c>
      <c r="G14">
        <v>335.63585999999998</v>
      </c>
      <c r="H14">
        <v>46</v>
      </c>
      <c r="I14">
        <v>125.139994</v>
      </c>
      <c r="J14">
        <v>122</v>
      </c>
      <c r="K14">
        <v>49.531859999999995</v>
      </c>
      <c r="L14">
        <v>122</v>
      </c>
      <c r="M14">
        <v>21.520225999999997</v>
      </c>
      <c r="N14">
        <v>98</v>
      </c>
      <c r="O14">
        <v>9.311040199999999</v>
      </c>
      <c r="P14" s="3">
        <f t="shared" si="0"/>
        <v>26577.9383156</v>
      </c>
      <c r="Q14" s="3">
        <f t="shared" si="1"/>
        <v>195270.88296380002</v>
      </c>
      <c r="R14">
        <v>4519251</v>
      </c>
      <c r="S14" s="24">
        <f t="shared" si="2"/>
        <v>4.3208682802482103</v>
      </c>
    </row>
    <row r="15" spans="1:19" x14ac:dyDescent="0.2">
      <c r="A15">
        <v>100000</v>
      </c>
      <c r="B15">
        <v>2</v>
      </c>
      <c r="C15">
        <v>882.64287999999999</v>
      </c>
      <c r="D15">
        <v>13</v>
      </c>
      <c r="E15">
        <v>863.31475999999998</v>
      </c>
      <c r="F15">
        <v>35</v>
      </c>
      <c r="G15">
        <v>335.63585999999998</v>
      </c>
      <c r="H15">
        <v>79</v>
      </c>
      <c r="I15">
        <v>125.139994</v>
      </c>
      <c r="J15">
        <v>173</v>
      </c>
      <c r="K15">
        <v>49.531859999999995</v>
      </c>
      <c r="L15">
        <v>175</v>
      </c>
      <c r="M15">
        <v>21.520225999999997</v>
      </c>
      <c r="N15">
        <v>147</v>
      </c>
      <c r="O15">
        <v>9.311040199999999</v>
      </c>
      <c r="P15" s="3">
        <f t="shared" si="0"/>
        <v>48325.4665054</v>
      </c>
      <c r="Q15" s="3">
        <f t="shared" si="1"/>
        <v>168692.94464820001</v>
      </c>
      <c r="R15">
        <v>4519251</v>
      </c>
      <c r="S15" s="24">
        <f t="shared" si="2"/>
        <v>3.7327633417174662</v>
      </c>
    </row>
    <row r="16" spans="1:19" x14ac:dyDescent="0.2">
      <c r="A16">
        <v>120000</v>
      </c>
      <c r="B16">
        <v>0</v>
      </c>
      <c r="C16">
        <v>882.64287999999999</v>
      </c>
      <c r="D16">
        <v>6</v>
      </c>
      <c r="E16">
        <v>863.31475999999998</v>
      </c>
      <c r="F16">
        <v>20</v>
      </c>
      <c r="G16">
        <v>335.63585999999998</v>
      </c>
      <c r="H16">
        <v>61</v>
      </c>
      <c r="I16">
        <v>125.139994</v>
      </c>
      <c r="J16">
        <v>130</v>
      </c>
      <c r="K16">
        <v>49.531859999999995</v>
      </c>
      <c r="L16">
        <v>159</v>
      </c>
      <c r="M16">
        <v>21.520225999999997</v>
      </c>
      <c r="N16">
        <v>117</v>
      </c>
      <c r="O16">
        <v>9.311040199999999</v>
      </c>
      <c r="P16" s="3">
        <f t="shared" si="0"/>
        <v>30476.394831399997</v>
      </c>
      <c r="Q16" s="3">
        <f t="shared" si="1"/>
        <v>120367.4781428</v>
      </c>
      <c r="R16">
        <v>4519251</v>
      </c>
      <c r="S16" s="24">
        <f t="shared" si="2"/>
        <v>2.6634386570429482</v>
      </c>
    </row>
    <row r="17" spans="1:19" x14ac:dyDescent="0.2">
      <c r="A17">
        <v>140000</v>
      </c>
      <c r="B17">
        <v>0</v>
      </c>
      <c r="C17">
        <v>882.64287999999999</v>
      </c>
      <c r="D17">
        <v>4</v>
      </c>
      <c r="E17">
        <v>863.31475999999998</v>
      </c>
      <c r="F17">
        <v>16</v>
      </c>
      <c r="G17">
        <v>335.63585999999998</v>
      </c>
      <c r="H17">
        <v>47</v>
      </c>
      <c r="I17">
        <v>125.139994</v>
      </c>
      <c r="J17">
        <v>96</v>
      </c>
      <c r="K17">
        <v>49.531859999999995</v>
      </c>
      <c r="L17">
        <v>96</v>
      </c>
      <c r="M17">
        <v>21.520225999999997</v>
      </c>
      <c r="N17">
        <v>69</v>
      </c>
      <c r="O17">
        <v>9.311040199999999</v>
      </c>
      <c r="P17" s="3">
        <f t="shared" si="0"/>
        <v>22168.474547800004</v>
      </c>
      <c r="Q17" s="3">
        <f t="shared" si="1"/>
        <v>89891.083311399998</v>
      </c>
      <c r="R17">
        <v>4519251</v>
      </c>
      <c r="S17" s="24">
        <f t="shared" si="2"/>
        <v>1.9890703860307823</v>
      </c>
    </row>
    <row r="18" spans="1:19" x14ac:dyDescent="0.2">
      <c r="A18">
        <v>160000</v>
      </c>
      <c r="B18">
        <v>0</v>
      </c>
      <c r="C18">
        <v>882.64287999999999</v>
      </c>
      <c r="D18">
        <v>1</v>
      </c>
      <c r="E18">
        <v>863.31475999999998</v>
      </c>
      <c r="F18">
        <v>9</v>
      </c>
      <c r="G18">
        <v>335.63585999999998</v>
      </c>
      <c r="H18">
        <v>39</v>
      </c>
      <c r="I18">
        <v>125.139994</v>
      </c>
      <c r="J18">
        <v>77</v>
      </c>
      <c r="K18">
        <v>49.531859999999995</v>
      </c>
      <c r="L18">
        <v>80</v>
      </c>
      <c r="M18">
        <v>21.520225999999997</v>
      </c>
      <c r="N18">
        <v>60</v>
      </c>
      <c r="O18">
        <v>9.311040199999999</v>
      </c>
      <c r="P18" s="3">
        <f t="shared" si="0"/>
        <v>14858.730977999998</v>
      </c>
      <c r="Q18" s="3">
        <f t="shared" si="1"/>
        <v>67722.608763599987</v>
      </c>
      <c r="R18">
        <v>4519251</v>
      </c>
      <c r="S18" s="24">
        <f t="shared" si="2"/>
        <v>1.498536123875394</v>
      </c>
    </row>
    <row r="19" spans="1:19" x14ac:dyDescent="0.2">
      <c r="A19">
        <v>180000</v>
      </c>
      <c r="B19">
        <v>0</v>
      </c>
      <c r="C19">
        <v>882.64287999999999</v>
      </c>
      <c r="D19">
        <v>1</v>
      </c>
      <c r="E19">
        <v>863.31475999999998</v>
      </c>
      <c r="F19">
        <v>4</v>
      </c>
      <c r="G19">
        <v>335.63585999999998</v>
      </c>
      <c r="H19">
        <v>27</v>
      </c>
      <c r="I19">
        <v>125.139994</v>
      </c>
      <c r="J19">
        <v>49</v>
      </c>
      <c r="K19">
        <v>49.531859999999995</v>
      </c>
      <c r="L19">
        <v>76</v>
      </c>
      <c r="M19">
        <v>21.520225999999997</v>
      </c>
      <c r="N19">
        <v>33</v>
      </c>
      <c r="O19">
        <v>9.311040199999999</v>
      </c>
      <c r="P19" s="3">
        <f t="shared" si="0"/>
        <v>9954.5006805999983</v>
      </c>
      <c r="Q19" s="3">
        <f t="shared" si="1"/>
        <v>52863.877785599994</v>
      </c>
      <c r="R19">
        <v>4519251</v>
      </c>
      <c r="S19" s="24">
        <f t="shared" si="2"/>
        <v>1.1697486549341913</v>
      </c>
    </row>
    <row r="20" spans="1:19" x14ac:dyDescent="0.2">
      <c r="A20">
        <v>200000</v>
      </c>
      <c r="B20">
        <v>4</v>
      </c>
      <c r="C20">
        <v>882.64287999999999</v>
      </c>
      <c r="D20">
        <v>5</v>
      </c>
      <c r="E20">
        <v>863.31475999999998</v>
      </c>
      <c r="F20">
        <v>10</v>
      </c>
      <c r="G20">
        <v>335.63585999999998</v>
      </c>
      <c r="H20">
        <v>78</v>
      </c>
      <c r="I20">
        <v>125.139994</v>
      </c>
      <c r="J20">
        <v>140</v>
      </c>
      <c r="K20">
        <v>49.531859999999995</v>
      </c>
      <c r="L20">
        <v>160</v>
      </c>
      <c r="M20">
        <v>21.520225999999997</v>
      </c>
      <c r="N20">
        <v>124</v>
      </c>
      <c r="O20">
        <v>9.311040199999999</v>
      </c>
      <c r="P20" s="3">
        <f t="shared" si="0"/>
        <v>32496.6889968</v>
      </c>
      <c r="Q20" s="3">
        <f t="shared" si="1"/>
        <v>42909.377105</v>
      </c>
      <c r="R20">
        <v>4519251</v>
      </c>
      <c r="S20" s="24">
        <f t="shared" si="2"/>
        <v>0.94947983869450925</v>
      </c>
    </row>
    <row r="21" spans="1:19" x14ac:dyDescent="0.2">
      <c r="A21">
        <v>350000</v>
      </c>
      <c r="B21">
        <v>0</v>
      </c>
      <c r="C21">
        <v>882.64287999999999</v>
      </c>
      <c r="D21">
        <v>2</v>
      </c>
      <c r="E21">
        <v>863.31475999999998</v>
      </c>
      <c r="F21">
        <v>1</v>
      </c>
      <c r="G21">
        <v>335.63585999999998</v>
      </c>
      <c r="H21">
        <v>13</v>
      </c>
      <c r="I21">
        <v>125.139994</v>
      </c>
      <c r="J21">
        <v>43</v>
      </c>
      <c r="K21">
        <v>49.531859999999995</v>
      </c>
      <c r="L21">
        <v>32</v>
      </c>
      <c r="M21">
        <v>21.520225999999997</v>
      </c>
      <c r="N21">
        <v>25</v>
      </c>
      <c r="O21">
        <v>9.311040199999999</v>
      </c>
      <c r="P21" s="3">
        <f t="shared" si="0"/>
        <v>6740.3785189999999</v>
      </c>
      <c r="Q21" s="3">
        <f t="shared" si="1"/>
        <v>10412.6881082</v>
      </c>
      <c r="R21">
        <v>4519251</v>
      </c>
      <c r="S21" s="24">
        <f t="shared" si="2"/>
        <v>0.23040738627263677</v>
      </c>
    </row>
    <row r="22" spans="1:19" x14ac:dyDescent="0.2">
      <c r="A22">
        <v>500000</v>
      </c>
      <c r="B22">
        <v>0</v>
      </c>
      <c r="C22">
        <v>882.64287999999999</v>
      </c>
      <c r="D22">
        <v>1</v>
      </c>
      <c r="E22">
        <v>863.31475999999998</v>
      </c>
      <c r="F22">
        <v>2</v>
      </c>
      <c r="G22">
        <v>335.63585999999998</v>
      </c>
      <c r="H22">
        <v>2</v>
      </c>
      <c r="I22">
        <v>125.139994</v>
      </c>
      <c r="J22">
        <v>15</v>
      </c>
      <c r="K22">
        <v>49.531859999999995</v>
      </c>
      <c r="L22">
        <v>26</v>
      </c>
      <c r="M22">
        <v>21.520226000000001</v>
      </c>
      <c r="N22">
        <v>19</v>
      </c>
      <c r="O22">
        <v>9.311040199999999</v>
      </c>
      <c r="P22" s="3">
        <f t="shared" si="0"/>
        <v>3264.2800078</v>
      </c>
      <c r="Q22" s="3">
        <f t="shared" si="1"/>
        <v>3672.3095892000001</v>
      </c>
      <c r="R22">
        <v>4519251</v>
      </c>
      <c r="S22" s="24">
        <f t="shared" si="2"/>
        <v>8.1259252677047603E-2</v>
      </c>
    </row>
    <row r="23" spans="1:19" x14ac:dyDescent="0.2">
      <c r="A23" t="s">
        <v>12</v>
      </c>
      <c r="B23">
        <v>0</v>
      </c>
      <c r="C23">
        <v>882.64287999999999</v>
      </c>
      <c r="E23">
        <v>863.31475999999998</v>
      </c>
      <c r="G23">
        <v>335.63585999999998</v>
      </c>
      <c r="H23">
        <v>2</v>
      </c>
      <c r="I23">
        <v>125.139994</v>
      </c>
      <c r="J23">
        <v>1</v>
      </c>
      <c r="K23">
        <v>49.531859999999995</v>
      </c>
      <c r="L23">
        <v>2</v>
      </c>
      <c r="M23">
        <v>21.520226000000001</v>
      </c>
      <c r="N23">
        <v>7</v>
      </c>
      <c r="O23">
        <v>9.311040199999999</v>
      </c>
      <c r="P23" s="3">
        <f t="shared" si="0"/>
        <v>408.02958139999998</v>
      </c>
      <c r="Q23" s="3">
        <f>P23</f>
        <v>408.02958139999998</v>
      </c>
      <c r="R23">
        <v>4519251</v>
      </c>
      <c r="S23" s="24">
        <f t="shared" si="2"/>
        <v>9.0286992556952456E-3</v>
      </c>
    </row>
    <row r="24" spans="1:19" x14ac:dyDescent="0.2">
      <c r="A24" t="s">
        <v>3</v>
      </c>
      <c r="B24">
        <f>SUM(B6:B23)</f>
        <v>179</v>
      </c>
      <c r="C24">
        <v>882.64287999999999</v>
      </c>
      <c r="D24">
        <v>138</v>
      </c>
      <c r="E24">
        <v>863.31475999999998</v>
      </c>
      <c r="G24">
        <v>335.63585999999998</v>
      </c>
      <c r="H24">
        <v>966</v>
      </c>
      <c r="I24">
        <v>125.139994</v>
      </c>
      <c r="J24">
        <v>2016</v>
      </c>
      <c r="K24">
        <v>49.531859999999995</v>
      </c>
      <c r="L24">
        <f>SUM(L6:L23)</f>
        <v>2317</v>
      </c>
      <c r="M24">
        <v>21.520226000000001</v>
      </c>
      <c r="N24">
        <f>SUM(N6:N23)</f>
        <v>1997</v>
      </c>
      <c r="O24">
        <v>9.311040199999999</v>
      </c>
      <c r="P24" s="3">
        <f t="shared" si="0"/>
        <v>566328.48728540004</v>
      </c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83</v>
      </c>
      <c r="B32" s="14">
        <v>5.0000000000000001E-4</v>
      </c>
      <c r="C32" s="4">
        <f>S23/100</f>
        <v>9.028699255695245E-5</v>
      </c>
      <c r="D32">
        <f>S22/100</f>
        <v>8.1259252677047598E-4</v>
      </c>
      <c r="E32">
        <v>1000000</v>
      </c>
      <c r="F32">
        <v>500000</v>
      </c>
      <c r="G32">
        <f t="shared" ref="G32:G37" si="3">D32/C32</f>
        <v>9.0001062584723694</v>
      </c>
      <c r="H32">
        <f t="shared" ref="H32:H37" si="4">LN(G32)</f>
        <v>2.1972363837634532</v>
      </c>
      <c r="I32">
        <f t="shared" ref="I32:I37" si="5">E32/F32</f>
        <v>2</v>
      </c>
      <c r="J32">
        <f t="shared" ref="J32:J37" si="6">LN(I32)</f>
        <v>0.69314718055994529</v>
      </c>
      <c r="K32" s="4">
        <f t="shared" ref="K32:K37" si="7">H32/J32</f>
        <v>3.1699420345163332</v>
      </c>
      <c r="L32" s="4">
        <f t="shared" ref="L32:L37" si="8">F32*POWER(D32,1/K32)</f>
        <v>52984.477203372706</v>
      </c>
      <c r="M32" s="20">
        <f t="shared" ref="M32:M37" si="9">POWER(B32,1/K32)</f>
        <v>9.0917309385217471E-2</v>
      </c>
      <c r="N32" s="8">
        <f t="shared" ref="N32:N37" si="10">L32/M32</f>
        <v>582776.56434900628</v>
      </c>
      <c r="O32" s="5">
        <v>4519251</v>
      </c>
      <c r="P32" s="8">
        <f>O32*(K32/(1-K32))*POWER(L32,K32)*(-1)*POWER(N32,1-K32)</f>
        <v>1923719441.2241817</v>
      </c>
      <c r="Q32" s="9">
        <f t="shared" ref="Q32:Q37" si="11">B32*O32</f>
        <v>2259.6255000000001</v>
      </c>
      <c r="R32" s="8">
        <f t="shared" ref="R32:R37" si="12">P32/Q32</f>
        <v>851344.36711932207</v>
      </c>
      <c r="S32" s="4">
        <f t="shared" ref="S32:S37" si="13">P32*3.834*1.23</f>
        <v>9071914615.3138199</v>
      </c>
    </row>
    <row r="33" spans="1:19" x14ac:dyDescent="0.2">
      <c r="A33" t="s">
        <v>75</v>
      </c>
      <c r="B33" s="14">
        <v>1E-3</v>
      </c>
      <c r="C33" s="4">
        <f>S22/100</f>
        <v>8.1259252677047598E-4</v>
      </c>
      <c r="D33">
        <f>S21/100</f>
        <v>2.3040738627263676E-3</v>
      </c>
      <c r="E33">
        <v>500000</v>
      </c>
      <c r="F33">
        <v>350000</v>
      </c>
      <c r="G33">
        <f t="shared" si="3"/>
        <v>2.8354603159883278</v>
      </c>
      <c r="H33">
        <f t="shared" si="4"/>
        <v>1.0422042929546218</v>
      </c>
      <c r="I33">
        <f t="shared" si="5"/>
        <v>1.4285714285714286</v>
      </c>
      <c r="J33">
        <f t="shared" si="6"/>
        <v>0.35667494393873239</v>
      </c>
      <c r="K33" s="4">
        <f t="shared" si="7"/>
        <v>2.922000299335985</v>
      </c>
      <c r="L33" s="4">
        <f t="shared" si="8"/>
        <v>43795.725241089669</v>
      </c>
      <c r="M33" s="20">
        <f t="shared" si="9"/>
        <v>9.403857944286767E-2</v>
      </c>
      <c r="N33" s="8">
        <f t="shared" si="10"/>
        <v>465720.82969093963</v>
      </c>
      <c r="O33" s="5">
        <v>4519251</v>
      </c>
      <c r="P33" s="8">
        <f>O33*(K33/(1-K33))*POWER(L33,K33)*(POWER(N32,1-K33)-POWER(N33,1-K33))+P32</f>
        <v>3043978688.4041023</v>
      </c>
      <c r="Q33" s="9">
        <f t="shared" si="11"/>
        <v>4519.2510000000002</v>
      </c>
      <c r="R33" s="8">
        <f t="shared" si="12"/>
        <v>673558.22644152807</v>
      </c>
      <c r="S33" s="4">
        <f t="shared" si="13"/>
        <v>14354855578.349833</v>
      </c>
    </row>
    <row r="34" spans="1:19" x14ac:dyDescent="0.2">
      <c r="A34" t="s">
        <v>76</v>
      </c>
      <c r="B34" s="14">
        <v>2.5000000000000001E-3</v>
      </c>
      <c r="C34">
        <f>S21/100</f>
        <v>2.3040738627263676E-3</v>
      </c>
      <c r="D34">
        <f>S20/100</f>
        <v>9.4947983869450928E-3</v>
      </c>
      <c r="E34">
        <v>350000</v>
      </c>
      <c r="F34">
        <v>200000</v>
      </c>
      <c r="G34">
        <f t="shared" si="3"/>
        <v>4.120874135393418</v>
      </c>
      <c r="H34">
        <f t="shared" si="4"/>
        <v>1.4160653096416318</v>
      </c>
      <c r="I34">
        <f t="shared" si="5"/>
        <v>1.75</v>
      </c>
      <c r="J34">
        <f t="shared" si="6"/>
        <v>0.55961578793542266</v>
      </c>
      <c r="K34" s="4">
        <f t="shared" si="7"/>
        <v>2.5304241591644301</v>
      </c>
      <c r="L34" s="4">
        <f t="shared" si="8"/>
        <v>31750.549660617973</v>
      </c>
      <c r="M34" s="20">
        <f t="shared" si="9"/>
        <v>9.3689341828690056E-2</v>
      </c>
      <c r="N34" s="8">
        <f t="shared" si="10"/>
        <v>338891.79965287307</v>
      </c>
      <c r="O34" s="5">
        <v>4519251</v>
      </c>
      <c r="P34" s="8">
        <f>O34*(K34/(1-K34))*POWER(L34,K34)*(POWER(N33,1-K34)-POWER(N34,1-K34))+P33</f>
        <v>5482829381.2003994</v>
      </c>
      <c r="Q34" s="9">
        <f t="shared" si="11"/>
        <v>11298.127500000001</v>
      </c>
      <c r="R34" s="8">
        <f t="shared" si="12"/>
        <v>485286.5557766452</v>
      </c>
      <c r="S34" s="4">
        <f t="shared" si="13"/>
        <v>25856036452.452469</v>
      </c>
    </row>
    <row r="35" spans="1:19" x14ac:dyDescent="0.2">
      <c r="A35" t="s">
        <v>76</v>
      </c>
      <c r="B35" s="14">
        <v>5.0000000000000001E-3</v>
      </c>
      <c r="C35">
        <f>S21/100</f>
        <v>2.3040738627263676E-3</v>
      </c>
      <c r="D35">
        <f>S20/100</f>
        <v>9.4947983869450928E-3</v>
      </c>
      <c r="E35">
        <v>350000</v>
      </c>
      <c r="F35">
        <v>200000</v>
      </c>
      <c r="G35">
        <f t="shared" si="3"/>
        <v>4.120874135393418</v>
      </c>
      <c r="H35">
        <f t="shared" si="4"/>
        <v>1.4160653096416318</v>
      </c>
      <c r="I35">
        <f t="shared" si="5"/>
        <v>1.75</v>
      </c>
      <c r="J35">
        <f t="shared" si="6"/>
        <v>0.55961578793542266</v>
      </c>
      <c r="K35" s="4">
        <f t="shared" si="7"/>
        <v>2.5304241591644301</v>
      </c>
      <c r="L35" s="4">
        <f t="shared" si="8"/>
        <v>31750.549660617973</v>
      </c>
      <c r="M35" s="20">
        <f t="shared" si="9"/>
        <v>0.12321240407775594</v>
      </c>
      <c r="N35" s="8">
        <f t="shared" si="10"/>
        <v>257689.5556763999</v>
      </c>
      <c r="O35" s="5">
        <v>4519251</v>
      </c>
      <c r="P35" s="8">
        <f>O35*(K35/(1-K35))*POWER(L35,K35)*(POWER(N34,1-K35)-POWER(N35,1-K35))+P34</f>
        <v>8779696718.1607094</v>
      </c>
      <c r="Q35" s="9">
        <f t="shared" si="11"/>
        <v>22596.255000000001</v>
      </c>
      <c r="R35" s="8">
        <f t="shared" si="12"/>
        <v>388546.54092727794</v>
      </c>
      <c r="S35" s="4">
        <f t="shared" si="13"/>
        <v>41403469377.436638</v>
      </c>
    </row>
    <row r="36" spans="1:19" x14ac:dyDescent="0.2">
      <c r="A36" t="s">
        <v>82</v>
      </c>
      <c r="B36" s="14">
        <v>0.01</v>
      </c>
      <c r="C36">
        <f>S20/100</f>
        <v>9.4947983869450928E-3</v>
      </c>
      <c r="D36">
        <f>S19/100</f>
        <v>1.1697486549341914E-2</v>
      </c>
      <c r="E36">
        <v>200000</v>
      </c>
      <c r="F36">
        <v>180000</v>
      </c>
      <c r="G36">
        <f t="shared" si="3"/>
        <v>1.2319889346387192</v>
      </c>
      <c r="H36">
        <f t="shared" si="4"/>
        <v>0.20862988344657674</v>
      </c>
      <c r="I36">
        <f t="shared" si="5"/>
        <v>1.1111111111111112</v>
      </c>
      <c r="J36">
        <f t="shared" si="6"/>
        <v>0.10536051565782635</v>
      </c>
      <c r="K36" s="4">
        <f t="shared" si="7"/>
        <v>1.9801524522159015</v>
      </c>
      <c r="L36" s="4">
        <f t="shared" si="8"/>
        <v>19038.678237396765</v>
      </c>
      <c r="M36" s="20">
        <f t="shared" si="9"/>
        <v>9.7718492322610997E-2</v>
      </c>
      <c r="N36" s="8">
        <f t="shared" si="10"/>
        <v>194831.88682999587</v>
      </c>
      <c r="O36" s="5">
        <v>4519251</v>
      </c>
      <c r="P36" s="8">
        <f>O36*(K36/(1-K36))*POWER(L36,K36)*(POWER(N35,1-K36)-POWER(N36,1-K36))+P35</f>
        <v>13043882901.299221</v>
      </c>
      <c r="Q36" s="9">
        <f t="shared" si="11"/>
        <v>45192.51</v>
      </c>
      <c r="R36" s="8">
        <f t="shared" si="12"/>
        <v>288629.30829244095</v>
      </c>
      <c r="S36" s="4">
        <f t="shared" si="13"/>
        <v>61512603863.604897</v>
      </c>
    </row>
    <row r="37" spans="1:19" x14ac:dyDescent="0.2">
      <c r="A37" t="s">
        <v>73</v>
      </c>
      <c r="B37" s="14">
        <v>0.02</v>
      </c>
      <c r="C37">
        <f>S17/100</f>
        <v>1.9890703860307824E-2</v>
      </c>
      <c r="D37">
        <f>S16/100</f>
        <v>2.6634386570429481E-2</v>
      </c>
      <c r="E37">
        <v>140000</v>
      </c>
      <c r="F37">
        <v>120000</v>
      </c>
      <c r="G37">
        <f t="shared" si="3"/>
        <v>1.339036906762197</v>
      </c>
      <c r="H37">
        <f t="shared" si="4"/>
        <v>0.29195062925838355</v>
      </c>
      <c r="I37">
        <f t="shared" si="5"/>
        <v>1.1666666666666667</v>
      </c>
      <c r="J37">
        <f t="shared" si="6"/>
        <v>0.15415067982725836</v>
      </c>
      <c r="K37" s="4">
        <f t="shared" si="7"/>
        <v>1.8939302089717942</v>
      </c>
      <c r="L37" s="4">
        <f t="shared" si="8"/>
        <v>17693.386282459844</v>
      </c>
      <c r="M37" s="20">
        <f t="shared" si="9"/>
        <v>0.12674752489883878</v>
      </c>
      <c r="N37" s="8">
        <f t="shared" si="10"/>
        <v>139595.51712415289</v>
      </c>
      <c r="O37" s="5">
        <v>4519251</v>
      </c>
      <c r="P37" s="8">
        <f>O37*(K37/(1-K37))*POWER(L37,K37)*(POWER(N36,1-K37)-POWER(N37,1-K37))+P36</f>
        <v>19933141183.776825</v>
      </c>
      <c r="Q37" s="9">
        <f t="shared" si="11"/>
        <v>90385.02</v>
      </c>
      <c r="R37" s="8">
        <f t="shared" si="12"/>
        <v>220535.89393216735</v>
      </c>
      <c r="S37" s="4">
        <f t="shared" si="13"/>
        <v>94001105857.278412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14</v>
      </c>
      <c r="B50">
        <v>0</v>
      </c>
      <c r="C50">
        <v>2687.4273999999996</v>
      </c>
      <c r="D50">
        <v>0</v>
      </c>
      <c r="E50">
        <v>1551.0614</v>
      </c>
      <c r="F50">
        <v>1</v>
      </c>
      <c r="G50">
        <f>418.1041*1.4</f>
        <v>585.34573999999998</v>
      </c>
      <c r="H50">
        <v>1</v>
      </c>
      <c r="I50">
        <f>171.9693*1.4</f>
        <v>240.75701999999998</v>
      </c>
      <c r="J50">
        <v>0</v>
      </c>
      <c r="K50">
        <v>100.63695599999998</v>
      </c>
      <c r="L50">
        <v>1</v>
      </c>
      <c r="M50">
        <v>37.619763999999996</v>
      </c>
      <c r="N50">
        <v>1</v>
      </c>
      <c r="O50">
        <v>11.704747599999999</v>
      </c>
      <c r="P50" s="3">
        <f>(B50*C50)+(D50*E50)+(F50*G50)+(H50*I50)+(J50*K50)+(L50*M50)+(N50*O50)</f>
        <v>875.42727160000004</v>
      </c>
      <c r="Q50" s="3"/>
    </row>
    <row r="51" spans="1:19" x14ac:dyDescent="0.2">
      <c r="A51">
        <v>20000</v>
      </c>
      <c r="B51">
        <v>7</v>
      </c>
      <c r="C51">
        <v>2687.4273999999996</v>
      </c>
      <c r="D51">
        <v>6</v>
      </c>
      <c r="E51">
        <v>1551.0614</v>
      </c>
      <c r="F51">
        <v>18</v>
      </c>
      <c r="G51">
        <f t="shared" ref="G51:G68" si="14">418.1041*1.4</f>
        <v>585.34573999999998</v>
      </c>
      <c r="H51">
        <v>37</v>
      </c>
      <c r="I51">
        <f t="shared" ref="I51:I68" si="15">171.9693*1.4</f>
        <v>240.75701999999998</v>
      </c>
      <c r="J51">
        <v>104</v>
      </c>
      <c r="K51">
        <v>100.63695599999998</v>
      </c>
      <c r="L51">
        <v>271</v>
      </c>
      <c r="M51">
        <v>37.619763999999996</v>
      </c>
      <c r="N51">
        <v>397</v>
      </c>
      <c r="O51">
        <v>11.704747599999999</v>
      </c>
      <c r="P51" s="3">
        <f t="shared" ref="P51:P68" si="16">(B51*C51)+(D51*E51)+(F51*G51)+(H51*I51)+(J51*K51)+(L51*M51)+(N51*O51)</f>
        <v>72870.577525200002</v>
      </c>
      <c r="Q51" s="3"/>
    </row>
    <row r="52" spans="1:19" x14ac:dyDescent="0.2">
      <c r="A52">
        <v>30000</v>
      </c>
      <c r="B52">
        <v>3</v>
      </c>
      <c r="C52">
        <v>2687.4273999999996</v>
      </c>
      <c r="D52">
        <v>8</v>
      </c>
      <c r="E52">
        <v>1551.0614</v>
      </c>
      <c r="F52">
        <v>11</v>
      </c>
      <c r="G52">
        <f t="shared" si="14"/>
        <v>585.34573999999998</v>
      </c>
      <c r="H52">
        <v>33</v>
      </c>
      <c r="I52">
        <f t="shared" si="15"/>
        <v>240.75701999999998</v>
      </c>
      <c r="J52">
        <v>134</v>
      </c>
      <c r="K52">
        <v>100.63695599999998</v>
      </c>
      <c r="L52">
        <v>307</v>
      </c>
      <c r="M52">
        <v>37.619763999999996</v>
      </c>
      <c r="N52">
        <v>421</v>
      </c>
      <c r="O52">
        <v>11.704747599999999</v>
      </c>
      <c r="P52" s="3">
        <f t="shared" si="16"/>
        <v>64816.87659159999</v>
      </c>
      <c r="Q52" s="3">
        <f>Q53+P52</f>
        <v>431874.79142359999</v>
      </c>
      <c r="R52">
        <v>4619817</v>
      </c>
      <c r="S52">
        <f>Q52/R52*100</f>
        <v>9.3483094984844648</v>
      </c>
    </row>
    <row r="53" spans="1:19" x14ac:dyDescent="0.2">
      <c r="A53">
        <v>40000</v>
      </c>
      <c r="B53">
        <v>2</v>
      </c>
      <c r="C53">
        <v>2687.4273999999996</v>
      </c>
      <c r="D53">
        <v>4</v>
      </c>
      <c r="E53">
        <v>1551.0614</v>
      </c>
      <c r="F53">
        <v>15</v>
      </c>
      <c r="G53">
        <f t="shared" si="14"/>
        <v>585.34573999999998</v>
      </c>
      <c r="H53">
        <v>52</v>
      </c>
      <c r="I53">
        <f t="shared" si="15"/>
        <v>240.75701999999998</v>
      </c>
      <c r="J53">
        <v>179</v>
      </c>
      <c r="K53">
        <v>100.63695599999998</v>
      </c>
      <c r="L53">
        <v>335</v>
      </c>
      <c r="M53">
        <v>37.619763999999996</v>
      </c>
      <c r="N53">
        <v>494</v>
      </c>
      <c r="O53">
        <v>11.704747599999999</v>
      </c>
      <c r="P53" s="3">
        <f t="shared" si="16"/>
        <v>69277.432918399994</v>
      </c>
      <c r="Q53" s="3">
        <f t="shared" ref="Q53:Q62" si="17">Q54+P53</f>
        <v>367057.91483199998</v>
      </c>
      <c r="R53">
        <v>4619817</v>
      </c>
      <c r="S53">
        <f>Q53/R53*100</f>
        <v>7.9452912275962451</v>
      </c>
    </row>
    <row r="54" spans="1:19" x14ac:dyDescent="0.2">
      <c r="A54">
        <v>50000</v>
      </c>
      <c r="B54">
        <v>3</v>
      </c>
      <c r="C54">
        <v>2687.4273999999996</v>
      </c>
      <c r="D54">
        <v>6</v>
      </c>
      <c r="E54">
        <v>1551.0614</v>
      </c>
      <c r="F54">
        <v>16</v>
      </c>
      <c r="G54">
        <f t="shared" si="14"/>
        <v>585.34573999999998</v>
      </c>
      <c r="H54">
        <v>66</v>
      </c>
      <c r="I54">
        <f t="shared" si="15"/>
        <v>240.75701999999998</v>
      </c>
      <c r="J54">
        <v>144</v>
      </c>
      <c r="K54">
        <v>100.63695599999998</v>
      </c>
      <c r="L54">
        <v>293</v>
      </c>
      <c r="M54">
        <v>37.619763999999996</v>
      </c>
      <c r="N54">
        <v>387</v>
      </c>
      <c r="O54">
        <v>11.704747599999999</v>
      </c>
      <c r="P54" s="3">
        <f t="shared" si="16"/>
        <v>72668.195597199985</v>
      </c>
      <c r="Q54" s="3">
        <f t="shared" si="17"/>
        <v>297780.4819136</v>
      </c>
      <c r="R54">
        <v>4619817</v>
      </c>
      <c r="S54">
        <f>Q54/R54*100</f>
        <v>6.4457202939770131</v>
      </c>
    </row>
    <row r="55" spans="1:19" x14ac:dyDescent="0.2">
      <c r="A55">
        <v>60000</v>
      </c>
      <c r="B55">
        <v>2</v>
      </c>
      <c r="C55">
        <v>2687.4273999999996</v>
      </c>
      <c r="D55">
        <v>3</v>
      </c>
      <c r="E55">
        <v>1551.0614</v>
      </c>
      <c r="F55">
        <v>13</v>
      </c>
      <c r="G55">
        <f t="shared" si="14"/>
        <v>585.34573999999998</v>
      </c>
      <c r="H55">
        <v>34</v>
      </c>
      <c r="I55">
        <f t="shared" si="15"/>
        <v>240.75701999999998</v>
      </c>
      <c r="J55">
        <v>97</v>
      </c>
      <c r="K55">
        <v>100.63695599999998</v>
      </c>
      <c r="L55">
        <v>197</v>
      </c>
      <c r="M55">
        <v>37.619763999999996</v>
      </c>
      <c r="N55">
        <v>276</v>
      </c>
      <c r="O55">
        <v>11.704747599999999</v>
      </c>
      <c r="P55" s="3">
        <f t="shared" si="16"/>
        <v>46226.660877599992</v>
      </c>
      <c r="Q55" s="3">
        <f t="shared" si="17"/>
        <v>225112.28631639999</v>
      </c>
      <c r="R55">
        <v>4619817</v>
      </c>
      <c r="S55">
        <f>Q55/R55*100</f>
        <v>4.8727533215363286</v>
      </c>
    </row>
    <row r="56" spans="1:19" x14ac:dyDescent="0.2">
      <c r="A56">
        <v>70000</v>
      </c>
      <c r="B56">
        <v>0</v>
      </c>
      <c r="C56">
        <v>2687.4273999999996</v>
      </c>
      <c r="D56">
        <v>7</v>
      </c>
      <c r="E56">
        <v>1551.0614</v>
      </c>
      <c r="F56">
        <v>11</v>
      </c>
      <c r="G56">
        <f t="shared" si="14"/>
        <v>585.34573999999998</v>
      </c>
      <c r="H56">
        <v>33</v>
      </c>
      <c r="I56">
        <f t="shared" si="15"/>
        <v>240.75701999999998</v>
      </c>
      <c r="J56">
        <v>73</v>
      </c>
      <c r="K56">
        <v>100.63695599999998</v>
      </c>
      <c r="L56">
        <v>149</v>
      </c>
      <c r="M56">
        <v>37.619763999999996</v>
      </c>
      <c r="N56">
        <v>207</v>
      </c>
      <c r="O56">
        <v>11.704747599999999</v>
      </c>
      <c r="P56" s="3">
        <f t="shared" si="16"/>
        <v>40615.939977199996</v>
      </c>
      <c r="Q56" s="3">
        <f t="shared" si="17"/>
        <v>178885.62543879999</v>
      </c>
      <c r="R56">
        <v>4619817</v>
      </c>
      <c r="S56">
        <f>Q56/R56*100</f>
        <v>3.8721366114458644</v>
      </c>
    </row>
    <row r="57" spans="1:19" x14ac:dyDescent="0.2">
      <c r="A57">
        <v>80000</v>
      </c>
      <c r="B57">
        <v>0</v>
      </c>
      <c r="C57">
        <v>2687.4273999999996</v>
      </c>
      <c r="D57">
        <v>4</v>
      </c>
      <c r="E57">
        <v>1551.0614</v>
      </c>
      <c r="F57">
        <v>5</v>
      </c>
      <c r="G57">
        <f t="shared" si="14"/>
        <v>585.34573999999998</v>
      </c>
      <c r="H57">
        <v>19</v>
      </c>
      <c r="I57">
        <f t="shared" si="15"/>
        <v>240.75701999999998</v>
      </c>
      <c r="J57">
        <v>53</v>
      </c>
      <c r="K57">
        <v>100.63695599999998</v>
      </c>
      <c r="L57">
        <v>91</v>
      </c>
      <c r="M57">
        <v>37.619763999999996</v>
      </c>
      <c r="N57">
        <v>150</v>
      </c>
      <c r="O57">
        <v>11.704747599999999</v>
      </c>
      <c r="P57" s="3">
        <f t="shared" si="16"/>
        <v>24218.227011999999</v>
      </c>
      <c r="Q57" s="3">
        <f t="shared" si="17"/>
        <v>138269.68546159999</v>
      </c>
      <c r="R57">
        <v>4619817</v>
      </c>
      <c r="S57">
        <f t="shared" ref="S57:S63" si="18">Q57/R57*100</f>
        <v>2.9929688873303855</v>
      </c>
    </row>
    <row r="58" spans="1:19" x14ac:dyDescent="0.2">
      <c r="A58">
        <v>90000</v>
      </c>
      <c r="B58">
        <v>0</v>
      </c>
      <c r="C58">
        <v>2687.4273999999996</v>
      </c>
      <c r="D58">
        <v>3</v>
      </c>
      <c r="E58">
        <v>1551.0614</v>
      </c>
      <c r="F58">
        <v>4</v>
      </c>
      <c r="G58">
        <f t="shared" si="14"/>
        <v>585.34573999999998</v>
      </c>
      <c r="H58">
        <v>16</v>
      </c>
      <c r="I58">
        <f t="shared" si="15"/>
        <v>240.75701999999998</v>
      </c>
      <c r="J58">
        <v>53</v>
      </c>
      <c r="K58">
        <v>100.63695599999998</v>
      </c>
      <c r="L58">
        <v>84</v>
      </c>
      <c r="M58">
        <v>37.619763999999996</v>
      </c>
      <c r="N58">
        <v>119</v>
      </c>
      <c r="O58">
        <v>11.704747599999999</v>
      </c>
      <c r="P58" s="3">
        <f t="shared" si="16"/>
        <v>20733.363288399996</v>
      </c>
      <c r="Q58" s="3">
        <f t="shared" si="17"/>
        <v>114051.45844959999</v>
      </c>
      <c r="R58">
        <v>4619817</v>
      </c>
      <c r="S58">
        <f t="shared" si="18"/>
        <v>2.468744074702526</v>
      </c>
    </row>
    <row r="59" spans="1:19" x14ac:dyDescent="0.2">
      <c r="A59">
        <v>100000</v>
      </c>
      <c r="B59">
        <v>0</v>
      </c>
      <c r="C59">
        <v>2687.4273999999996</v>
      </c>
      <c r="D59">
        <v>2</v>
      </c>
      <c r="E59">
        <v>1551.0614</v>
      </c>
      <c r="F59">
        <v>12</v>
      </c>
      <c r="G59">
        <f t="shared" si="14"/>
        <v>585.34573999999998</v>
      </c>
      <c r="H59">
        <v>35</v>
      </c>
      <c r="I59">
        <f t="shared" si="15"/>
        <v>240.75701999999998</v>
      </c>
      <c r="J59">
        <v>82</v>
      </c>
      <c r="K59">
        <v>100.63695599999998</v>
      </c>
      <c r="L59">
        <v>103</v>
      </c>
      <c r="M59">
        <v>37.619763999999996</v>
      </c>
      <c r="N59">
        <v>172</v>
      </c>
      <c r="O59">
        <v>11.704747599999999</v>
      </c>
      <c r="P59" s="3">
        <f t="shared" si="16"/>
        <v>32693.050051199996</v>
      </c>
      <c r="Q59" s="3">
        <f t="shared" si="17"/>
        <v>93318.095161199992</v>
      </c>
      <c r="R59">
        <v>4619817</v>
      </c>
      <c r="S59">
        <f t="shared" si="18"/>
        <v>2.0199522007300286</v>
      </c>
    </row>
    <row r="60" spans="1:19" x14ac:dyDescent="0.2">
      <c r="A60">
        <v>120000</v>
      </c>
      <c r="B60">
        <v>0</v>
      </c>
      <c r="C60">
        <v>2687.4273999999996</v>
      </c>
      <c r="D60">
        <v>2</v>
      </c>
      <c r="E60">
        <v>1551.0614</v>
      </c>
      <c r="F60">
        <v>6</v>
      </c>
      <c r="G60">
        <f t="shared" si="14"/>
        <v>585.34573999999998</v>
      </c>
      <c r="H60">
        <v>22</v>
      </c>
      <c r="I60">
        <f t="shared" si="15"/>
        <v>240.75701999999998</v>
      </c>
      <c r="J60">
        <v>41</v>
      </c>
      <c r="K60">
        <v>100.63695599999998</v>
      </c>
      <c r="L60">
        <v>60</v>
      </c>
      <c r="M60">
        <v>37.619763999999996</v>
      </c>
      <c r="N60">
        <v>113</v>
      </c>
      <c r="O60">
        <v>11.704747599999999</v>
      </c>
      <c r="P60" s="3">
        <f t="shared" si="16"/>
        <v>19616.789194799996</v>
      </c>
      <c r="Q60" s="3">
        <f t="shared" si="17"/>
        <v>60625.045109999992</v>
      </c>
      <c r="R60">
        <v>4619817</v>
      </c>
      <c r="S60">
        <f t="shared" si="18"/>
        <v>1.3122823936532551</v>
      </c>
    </row>
    <row r="61" spans="1:19" x14ac:dyDescent="0.2">
      <c r="A61">
        <v>140000</v>
      </c>
      <c r="B61">
        <v>0</v>
      </c>
      <c r="C61">
        <v>2687.4273999999996</v>
      </c>
      <c r="D61">
        <v>1</v>
      </c>
      <c r="E61">
        <v>1551.0614</v>
      </c>
      <c r="F61">
        <v>2</v>
      </c>
      <c r="G61">
        <f t="shared" si="14"/>
        <v>585.34573999999998</v>
      </c>
      <c r="H61">
        <v>13</v>
      </c>
      <c r="I61">
        <f t="shared" si="15"/>
        <v>240.75701999999998</v>
      </c>
      <c r="J61">
        <v>32</v>
      </c>
      <c r="K61">
        <v>100.63695599999998</v>
      </c>
      <c r="L61">
        <v>55</v>
      </c>
      <c r="M61">
        <v>37.619763999999996</v>
      </c>
      <c r="N61">
        <v>72</v>
      </c>
      <c r="O61">
        <v>11.704747599999999</v>
      </c>
      <c r="P61" s="3">
        <f t="shared" si="16"/>
        <v>11983.805579199998</v>
      </c>
      <c r="Q61" s="3">
        <f t="shared" si="17"/>
        <v>41008.255915199996</v>
      </c>
      <c r="R61">
        <v>4619817</v>
      </c>
      <c r="S61">
        <f t="shared" si="18"/>
        <v>0.88765974745752907</v>
      </c>
    </row>
    <row r="62" spans="1:19" x14ac:dyDescent="0.2">
      <c r="A62">
        <v>160000</v>
      </c>
      <c r="B62">
        <v>0</v>
      </c>
      <c r="C62">
        <v>2687.4273999999996</v>
      </c>
      <c r="D62">
        <v>1</v>
      </c>
      <c r="E62">
        <v>1551.0614</v>
      </c>
      <c r="F62">
        <v>1</v>
      </c>
      <c r="G62">
        <f t="shared" si="14"/>
        <v>585.34573999999998</v>
      </c>
      <c r="H62">
        <v>8</v>
      </c>
      <c r="I62">
        <f t="shared" si="15"/>
        <v>240.75701999999998</v>
      </c>
      <c r="J62">
        <v>18</v>
      </c>
      <c r="K62">
        <v>100.63695599999998</v>
      </c>
      <c r="L62">
        <v>28</v>
      </c>
      <c r="M62">
        <v>37.619763999999996</v>
      </c>
      <c r="N62">
        <v>45</v>
      </c>
      <c r="O62">
        <v>11.704747599999999</v>
      </c>
      <c r="P62" s="3">
        <f t="shared" si="16"/>
        <v>7453.9955419999997</v>
      </c>
      <c r="Q62" s="3">
        <f t="shared" si="17"/>
        <v>29024.450335999998</v>
      </c>
      <c r="R62">
        <v>4619817</v>
      </c>
      <c r="S62">
        <f t="shared" si="18"/>
        <v>0.62825974137070795</v>
      </c>
    </row>
    <row r="63" spans="1:19" x14ac:dyDescent="0.2">
      <c r="A63">
        <v>180000</v>
      </c>
      <c r="B63">
        <v>0</v>
      </c>
      <c r="C63">
        <v>2687.4273999999996</v>
      </c>
      <c r="D63">
        <v>0</v>
      </c>
      <c r="E63">
        <v>1551.0614</v>
      </c>
      <c r="F63">
        <v>2</v>
      </c>
      <c r="G63">
        <f t="shared" si="14"/>
        <v>585.34573999999998</v>
      </c>
      <c r="H63">
        <v>7</v>
      </c>
      <c r="I63">
        <f t="shared" si="15"/>
        <v>240.75701999999998</v>
      </c>
      <c r="J63">
        <v>16</v>
      </c>
      <c r="K63">
        <v>100.63695599999998</v>
      </c>
      <c r="L63">
        <v>32</v>
      </c>
      <c r="M63">
        <v>37.619763999999996</v>
      </c>
      <c r="N63">
        <v>29</v>
      </c>
      <c r="O63">
        <v>11.704747599999999</v>
      </c>
      <c r="P63" s="3">
        <f t="shared" si="16"/>
        <v>6009.4520444</v>
      </c>
      <c r="Q63" s="3">
        <f>P64+P63</f>
        <v>21570.454793999997</v>
      </c>
      <c r="R63">
        <v>4619817</v>
      </c>
      <c r="S63">
        <f t="shared" si="18"/>
        <v>0.4669114554537549</v>
      </c>
    </row>
    <row r="64" spans="1:19" x14ac:dyDescent="0.2">
      <c r="A64">
        <v>200000</v>
      </c>
      <c r="B64">
        <v>2</v>
      </c>
      <c r="C64">
        <v>2687.4273999999996</v>
      </c>
      <c r="D64">
        <v>0</v>
      </c>
      <c r="E64">
        <v>1551.0614</v>
      </c>
      <c r="F64">
        <v>2</v>
      </c>
      <c r="G64">
        <f t="shared" si="14"/>
        <v>585.34573999999998</v>
      </c>
      <c r="H64">
        <v>11</v>
      </c>
      <c r="I64">
        <f t="shared" si="15"/>
        <v>240.75701999999998</v>
      </c>
      <c r="J64">
        <v>32</v>
      </c>
      <c r="K64">
        <v>100.63695599999998</v>
      </c>
      <c r="L64">
        <v>60</v>
      </c>
      <c r="M64">
        <v>37.619763999999996</v>
      </c>
      <c r="N64">
        <v>76</v>
      </c>
      <c r="O64">
        <v>11.704747599999999</v>
      </c>
      <c r="P64" s="3">
        <f t="shared" si="16"/>
        <v>15561.002749599998</v>
      </c>
      <c r="Q64" s="3">
        <f>P65+P64</f>
        <v>18000.32374</v>
      </c>
      <c r="R64">
        <v>4619817</v>
      </c>
      <c r="S64">
        <f>Q64/R64*100</f>
        <v>0.38963283047791719</v>
      </c>
    </row>
    <row r="65" spans="1:19" x14ac:dyDescent="0.2">
      <c r="A65">
        <v>350000</v>
      </c>
      <c r="B65">
        <v>0</v>
      </c>
      <c r="C65">
        <v>2687.4273999999996</v>
      </c>
      <c r="D65">
        <v>0</v>
      </c>
      <c r="E65">
        <v>1551.0614</v>
      </c>
      <c r="F65">
        <v>0</v>
      </c>
      <c r="G65">
        <f t="shared" si="14"/>
        <v>585.34573999999998</v>
      </c>
      <c r="H65">
        <v>5</v>
      </c>
      <c r="I65">
        <f t="shared" si="15"/>
        <v>240.75701999999998</v>
      </c>
      <c r="J65">
        <v>5</v>
      </c>
      <c r="K65">
        <v>100.63695599999998</v>
      </c>
      <c r="L65">
        <v>12</v>
      </c>
      <c r="M65">
        <v>37.619763999999996</v>
      </c>
      <c r="N65">
        <v>24</v>
      </c>
      <c r="O65">
        <v>11.704747599999999</v>
      </c>
      <c r="P65" s="3">
        <f t="shared" si="16"/>
        <v>2439.3209903999996</v>
      </c>
      <c r="Q65" s="3">
        <f>P66+P65</f>
        <v>4097.3766399999995</v>
      </c>
      <c r="R65">
        <v>4619817</v>
      </c>
      <c r="S65">
        <f>Q65/R65*100</f>
        <v>8.8691319158312965E-2</v>
      </c>
    </row>
    <row r="66" spans="1:19" x14ac:dyDescent="0.2">
      <c r="A66">
        <v>500000</v>
      </c>
      <c r="B66">
        <v>0</v>
      </c>
      <c r="C66">
        <v>2687.4273999999996</v>
      </c>
      <c r="D66">
        <v>0</v>
      </c>
      <c r="E66">
        <v>1551.0614</v>
      </c>
      <c r="F66">
        <v>1</v>
      </c>
      <c r="G66">
        <f t="shared" si="14"/>
        <v>585.34573999999998</v>
      </c>
      <c r="H66">
        <v>1</v>
      </c>
      <c r="I66">
        <f t="shared" si="15"/>
        <v>240.75701999999998</v>
      </c>
      <c r="J66">
        <v>3</v>
      </c>
      <c r="K66">
        <v>100.63695599999998</v>
      </c>
      <c r="L66">
        <v>6</v>
      </c>
      <c r="M66">
        <v>37.619763999999996</v>
      </c>
      <c r="N66">
        <v>26</v>
      </c>
      <c r="O66">
        <v>11.704747599999999</v>
      </c>
      <c r="P66" s="3">
        <f t="shared" si="16"/>
        <v>1658.0556495999999</v>
      </c>
      <c r="Q66" s="3">
        <f>P67+P66</f>
        <v>2037.0693895999998</v>
      </c>
      <c r="R66">
        <v>4619817</v>
      </c>
      <c r="S66">
        <f>Q66/R66*100</f>
        <v>4.4094157617065782E-2</v>
      </c>
    </row>
    <row r="67" spans="1:19" x14ac:dyDescent="0.2">
      <c r="A67" t="s">
        <v>12</v>
      </c>
      <c r="B67">
        <v>0</v>
      </c>
      <c r="C67">
        <v>2687.4273999999996</v>
      </c>
      <c r="D67">
        <v>0</v>
      </c>
      <c r="E67">
        <v>1551.0614</v>
      </c>
      <c r="F67">
        <v>0</v>
      </c>
      <c r="G67">
        <f t="shared" si="14"/>
        <v>585.34573999999998</v>
      </c>
      <c r="H67">
        <v>1</v>
      </c>
      <c r="I67">
        <f t="shared" si="15"/>
        <v>240.75701999999998</v>
      </c>
      <c r="J67">
        <v>1</v>
      </c>
      <c r="K67">
        <v>100.63695599999998</v>
      </c>
      <c r="L67">
        <v>1</v>
      </c>
      <c r="M67">
        <v>37.619763999999996</v>
      </c>
      <c r="N67">
        <v>0</v>
      </c>
      <c r="O67">
        <v>11.704747599999999</v>
      </c>
      <c r="P67" s="3">
        <f t="shared" si="16"/>
        <v>379.01373999999993</v>
      </c>
      <c r="Q67" s="3">
        <v>271</v>
      </c>
      <c r="R67">
        <v>4619817</v>
      </c>
      <c r="S67">
        <f>Q67/R67*100</f>
        <v>5.8660332216622438E-3</v>
      </c>
    </row>
    <row r="68" spans="1:19" x14ac:dyDescent="0.2">
      <c r="A68" t="s">
        <v>3</v>
      </c>
      <c r="B68">
        <v>19</v>
      </c>
      <c r="C68">
        <v>2687.4273999999996</v>
      </c>
      <c r="D68">
        <v>47</v>
      </c>
      <c r="E68">
        <v>1551.0614</v>
      </c>
      <c r="F68">
        <v>120</v>
      </c>
      <c r="G68">
        <f t="shared" si="14"/>
        <v>585.34573999999998</v>
      </c>
      <c r="H68">
        <v>394</v>
      </c>
      <c r="I68">
        <f t="shared" si="15"/>
        <v>240.75701999999998</v>
      </c>
      <c r="J68">
        <v>1067</v>
      </c>
      <c r="K68">
        <v>100.63695599999998</v>
      </c>
      <c r="L68">
        <v>2085</v>
      </c>
      <c r="M68">
        <v>37.619763999999996</v>
      </c>
      <c r="N68">
        <v>3009</v>
      </c>
      <c r="O68">
        <v>11.704747599999999</v>
      </c>
      <c r="P68" s="3">
        <f t="shared" si="16"/>
        <v>510097.1866003999</v>
      </c>
      <c r="Q68" s="3"/>
      <c r="R68">
        <v>4619817</v>
      </c>
    </row>
    <row r="69" spans="1:19" ht="15" x14ac:dyDescent="0.25">
      <c r="A69" s="2" t="s">
        <v>24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83</v>
      </c>
      <c r="B73" s="14">
        <v>5.0000000000000001E-4</v>
      </c>
      <c r="C73" s="4">
        <f>S67/100</f>
        <v>5.8660332216622441E-5</v>
      </c>
      <c r="D73" s="5">
        <f>S66/100</f>
        <v>4.4094157617065782E-4</v>
      </c>
      <c r="E73" s="5">
        <v>1000000</v>
      </c>
      <c r="F73" s="5">
        <v>500000</v>
      </c>
      <c r="G73" s="5">
        <f t="shared" ref="G73:G78" si="19">D73/C73</f>
        <v>7.516861216236161</v>
      </c>
      <c r="H73" s="5">
        <f t="shared" ref="H73:H78" si="20">LN(G73)</f>
        <v>2.0171486593717303</v>
      </c>
      <c r="I73" s="5">
        <f t="shared" ref="I73:I78" si="21">E73/F73</f>
        <v>2</v>
      </c>
      <c r="J73" s="5">
        <f t="shared" ref="J73:J78" si="22">LN(I73)</f>
        <v>0.69314718055994529</v>
      </c>
      <c r="K73" s="4">
        <f t="shared" ref="K73:K78" si="23">H73/J73</f>
        <v>2.9101303676114161</v>
      </c>
      <c r="L73" s="4">
        <f t="shared" ref="L73:L78" si="24">F73*(D73^(1/K73))</f>
        <v>35146.979050241884</v>
      </c>
      <c r="M73" s="7">
        <f t="shared" ref="M73:M78" si="25">POWER(B73,1/K73)</f>
        <v>7.3396651770182203E-2</v>
      </c>
      <c r="N73" s="8">
        <f t="shared" ref="N73:N78" si="26">L73/M73</f>
        <v>478863.52037274459</v>
      </c>
      <c r="O73">
        <f t="shared" ref="O73:O78" si="27">R54</f>
        <v>4619817</v>
      </c>
      <c r="P73" s="8">
        <f>O73*(K73/(1-K73))*POWER(L73,K73)*(-1)*POWER(N73,1-K73)</f>
        <v>1685217524.3792882</v>
      </c>
      <c r="Q73" s="9">
        <f t="shared" ref="Q73:Q78" si="28">B73*O73</f>
        <v>2309.9085</v>
      </c>
      <c r="R73" s="4">
        <f t="shared" ref="R73:R78" si="29">P73/Q73</f>
        <v>729560.29400267941</v>
      </c>
      <c r="S73" s="3">
        <f t="shared" ref="S73:S78" si="30">3.834*P73*1.23</f>
        <v>7947182505.8183346</v>
      </c>
    </row>
    <row r="74" spans="1:19" x14ac:dyDescent="0.2">
      <c r="A74" t="s">
        <v>76</v>
      </c>
      <c r="B74" s="14">
        <v>1E-3</v>
      </c>
      <c r="C74" s="5">
        <f>S65/100</f>
        <v>8.8691319158312959E-4</v>
      </c>
      <c r="D74" s="5">
        <f>S64/100</f>
        <v>3.8963283047791721E-3</v>
      </c>
      <c r="E74" s="5">
        <v>350000</v>
      </c>
      <c r="F74" s="5">
        <v>200000</v>
      </c>
      <c r="G74" s="5">
        <f t="shared" si="19"/>
        <v>4.3931337832784649</v>
      </c>
      <c r="H74" s="5">
        <f t="shared" si="20"/>
        <v>1.4800428182696284</v>
      </c>
      <c r="I74" s="5">
        <f t="shared" si="21"/>
        <v>1.75</v>
      </c>
      <c r="J74" s="5">
        <f t="shared" si="22"/>
        <v>0.55961578793542266</v>
      </c>
      <c r="K74" s="4">
        <f t="shared" si="23"/>
        <v>2.6447481471706071</v>
      </c>
      <c r="L74" s="4">
        <f t="shared" si="24"/>
        <v>24549.235710694342</v>
      </c>
      <c r="M74" s="7">
        <f t="shared" si="25"/>
        <v>7.3396692655175177E-2</v>
      </c>
      <c r="N74" s="8">
        <f t="shared" si="26"/>
        <v>334473.3232875907</v>
      </c>
      <c r="O74">
        <f t="shared" si="27"/>
        <v>4619817</v>
      </c>
      <c r="P74" s="8">
        <f>O74*(K74/(1-K74))*POWER(L74,K74)*(POWER(N73,1-K74)-POWER(N74,1-K74))+P73</f>
        <v>2792892728.0218697</v>
      </c>
      <c r="Q74" s="9">
        <f t="shared" si="28"/>
        <v>4619.817</v>
      </c>
      <c r="R74" s="4">
        <f t="shared" si="29"/>
        <v>604546.18181236822</v>
      </c>
      <c r="S74" s="3">
        <f t="shared" si="30"/>
        <v>13170779384.660095</v>
      </c>
    </row>
    <row r="75" spans="1:19" x14ac:dyDescent="0.2">
      <c r="A75" t="s">
        <v>76</v>
      </c>
      <c r="B75" s="14">
        <v>2.5000000000000001E-3</v>
      </c>
      <c r="C75" s="5">
        <f>S65/100</f>
        <v>8.8691319158312959E-4</v>
      </c>
      <c r="D75" s="5">
        <f>S64/100</f>
        <v>3.8963283047791721E-3</v>
      </c>
      <c r="E75" s="5">
        <v>350000</v>
      </c>
      <c r="F75" s="5">
        <v>200000</v>
      </c>
      <c r="G75" s="5">
        <f t="shared" si="19"/>
        <v>4.3931337832784649</v>
      </c>
      <c r="H75" s="5">
        <f t="shared" si="20"/>
        <v>1.4800428182696284</v>
      </c>
      <c r="I75" s="5">
        <f t="shared" si="21"/>
        <v>1.75</v>
      </c>
      <c r="J75" s="5">
        <f t="shared" si="22"/>
        <v>0.55961578793542266</v>
      </c>
      <c r="K75" s="4">
        <f t="shared" si="23"/>
        <v>2.6447481471706071</v>
      </c>
      <c r="L75" s="4">
        <f t="shared" si="24"/>
        <v>24549.235710694342</v>
      </c>
      <c r="M75" s="7">
        <f t="shared" si="25"/>
        <v>0.10378646649465853</v>
      </c>
      <c r="N75" s="8">
        <f t="shared" si="26"/>
        <v>236536.00069290143</v>
      </c>
      <c r="O75">
        <f t="shared" si="27"/>
        <v>4619817</v>
      </c>
      <c r="P75" s="8">
        <f>O75*(K75/(1-K75))*POWER(L75,K75)*(POWER(N74,1-K75)-POWER(N75,1-K75))+P74</f>
        <v>4701064461.7247715</v>
      </c>
      <c r="Q75" s="9">
        <f t="shared" si="28"/>
        <v>11549.5425</v>
      </c>
      <c r="R75" s="4">
        <f t="shared" si="29"/>
        <v>407034.69091739104</v>
      </c>
      <c r="S75" s="3">
        <f t="shared" si="30"/>
        <v>22169373809.890911</v>
      </c>
    </row>
    <row r="76" spans="1:19" x14ac:dyDescent="0.2">
      <c r="A76" t="s">
        <v>77</v>
      </c>
      <c r="B76" s="14">
        <v>5.0000000000000001E-3</v>
      </c>
      <c r="C76" s="5">
        <f>S63/100</f>
        <v>4.6691145545375489E-3</v>
      </c>
      <c r="D76" s="5">
        <f>S62/100</f>
        <v>6.2825974137070799E-3</v>
      </c>
      <c r="E76" s="5">
        <v>180000</v>
      </c>
      <c r="F76" s="5">
        <v>160000</v>
      </c>
      <c r="G76" s="5">
        <f t="shared" si="19"/>
        <v>1.3455650617099366</v>
      </c>
      <c r="H76" s="5">
        <f t="shared" si="20"/>
        <v>0.296814045058444</v>
      </c>
      <c r="I76" s="5">
        <f t="shared" si="21"/>
        <v>1.125</v>
      </c>
      <c r="J76" s="5">
        <f t="shared" si="22"/>
        <v>0.11778303565638346</v>
      </c>
      <c r="K76" s="4">
        <f t="shared" si="23"/>
        <v>2.5200067514337126</v>
      </c>
      <c r="L76" s="4">
        <f t="shared" si="24"/>
        <v>21397.747096927593</v>
      </c>
      <c r="M76" s="7">
        <f t="shared" si="25"/>
        <v>0.12215051580231281</v>
      </c>
      <c r="N76" s="8">
        <f t="shared" si="26"/>
        <v>175175.24962037406</v>
      </c>
      <c r="O76">
        <f t="shared" si="27"/>
        <v>4619817</v>
      </c>
      <c r="P76" s="8">
        <f>O76*(K76/(1-K76))*POWER(L76,K76)*(POWER(N75,1-K76)-POWER(N76,1-K76))+P75</f>
        <v>7159649025.5353794</v>
      </c>
      <c r="Q76" s="9">
        <f t="shared" si="28"/>
        <v>23099.084999999999</v>
      </c>
      <c r="R76" s="4">
        <f t="shared" si="29"/>
        <v>309953.79364747042</v>
      </c>
      <c r="S76" s="3">
        <f t="shared" si="30"/>
        <v>33763616067.600254</v>
      </c>
    </row>
    <row r="77" spans="1:19" x14ac:dyDescent="0.2">
      <c r="A77" t="s">
        <v>73</v>
      </c>
      <c r="B77" s="14">
        <v>0.01</v>
      </c>
      <c r="C77" s="5">
        <f>S61/100</f>
        <v>8.8765974745752905E-3</v>
      </c>
      <c r="D77" s="5">
        <f>S60/100</f>
        <v>1.312282393653255E-2</v>
      </c>
      <c r="E77" s="5">
        <v>140000</v>
      </c>
      <c r="F77" s="5">
        <v>120000</v>
      </c>
      <c r="G77" s="5">
        <f t="shared" si="19"/>
        <v>1.4783619482712236</v>
      </c>
      <c r="H77" s="5">
        <f t="shared" si="20"/>
        <v>0.39093468312113688</v>
      </c>
      <c r="I77" s="5">
        <f t="shared" si="21"/>
        <v>1.1666666666666667</v>
      </c>
      <c r="J77" s="5">
        <f t="shared" si="22"/>
        <v>0.15415067982725836</v>
      </c>
      <c r="K77" s="4">
        <f t="shared" si="23"/>
        <v>2.5360555241093925</v>
      </c>
      <c r="L77" s="4">
        <f t="shared" si="24"/>
        <v>21731.749720021449</v>
      </c>
      <c r="M77" s="7">
        <f t="shared" si="25"/>
        <v>0.16269482284166378</v>
      </c>
      <c r="N77" s="8">
        <f t="shared" si="26"/>
        <v>133573.70161170405</v>
      </c>
      <c r="O77">
        <f t="shared" si="27"/>
        <v>4619817</v>
      </c>
      <c r="P77" s="8">
        <f>O77*(K77/(1-K77))*POWER(L77,K77)*(POWER(N76,1-K77)-POWER(N77,1-K77))+P76</f>
        <v>10630094588.729412</v>
      </c>
      <c r="Q77" s="9">
        <f t="shared" si="28"/>
        <v>46198.17</v>
      </c>
      <c r="R77" s="4">
        <f t="shared" si="29"/>
        <v>230097.7417228737</v>
      </c>
      <c r="S77" s="3">
        <f t="shared" si="30"/>
        <v>50129612663.421936</v>
      </c>
    </row>
    <row r="78" spans="1:19" x14ac:dyDescent="0.2">
      <c r="A78" t="s">
        <v>71</v>
      </c>
      <c r="B78" s="14">
        <v>0.02</v>
      </c>
      <c r="C78" s="5">
        <f>S60/100</f>
        <v>1.312282393653255E-2</v>
      </c>
      <c r="D78" s="5">
        <f>S59/100</f>
        <v>2.0199522007300286E-2</v>
      </c>
      <c r="E78" s="5">
        <v>120000</v>
      </c>
      <c r="F78" s="5">
        <v>100000</v>
      </c>
      <c r="G78" s="5">
        <f t="shared" si="19"/>
        <v>1.5392664037095674</v>
      </c>
      <c r="H78" s="5">
        <f t="shared" si="20"/>
        <v>0.43130594170192971</v>
      </c>
      <c r="I78" s="5">
        <f t="shared" si="21"/>
        <v>1.2</v>
      </c>
      <c r="J78" s="5">
        <f t="shared" si="22"/>
        <v>0.18232155679395459</v>
      </c>
      <c r="K78" s="4">
        <f t="shared" si="23"/>
        <v>2.3656332760988739</v>
      </c>
      <c r="L78" s="4">
        <f t="shared" si="24"/>
        <v>19214.723695248849</v>
      </c>
      <c r="M78" s="7">
        <f t="shared" si="25"/>
        <v>0.19134263825167136</v>
      </c>
      <c r="N78" s="8">
        <f t="shared" si="26"/>
        <v>100420.50151924782</v>
      </c>
      <c r="O78">
        <f t="shared" si="27"/>
        <v>4619817</v>
      </c>
      <c r="P78" s="8">
        <f>O78*(K78/(1-K78))*POWER(L78,K78)*(POWER(N77,1-K78)-POWER(N78,1-K78))+P77</f>
        <v>15816300596.655716</v>
      </c>
      <c r="Q78" s="9">
        <f t="shared" si="28"/>
        <v>92396.34</v>
      </c>
      <c r="R78" s="4">
        <f t="shared" si="29"/>
        <v>171178.86484092029</v>
      </c>
      <c r="S78" s="3">
        <f t="shared" si="30"/>
        <v>74586826679.720963</v>
      </c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31">S32+S73</f>
        <v>17019097121.132154</v>
      </c>
      <c r="C85">
        <f t="shared" ref="C85:C90" si="32">1233800000000*1.23</f>
        <v>1517574000000</v>
      </c>
      <c r="F85" s="10">
        <f t="shared" ref="F85:F90" si="33">B85/C85*100</f>
        <v>1.121467363115878</v>
      </c>
    </row>
    <row r="86" spans="1:7" ht="15" x14ac:dyDescent="0.25">
      <c r="A86" s="18">
        <v>1E-3</v>
      </c>
      <c r="B86" s="3">
        <f t="shared" si="31"/>
        <v>27525634963.009926</v>
      </c>
      <c r="C86">
        <f t="shared" si="32"/>
        <v>1517574000000</v>
      </c>
      <c r="F86" s="10">
        <f t="shared" si="33"/>
        <v>1.8137919444461965</v>
      </c>
    </row>
    <row r="87" spans="1:7" ht="15" x14ac:dyDescent="0.25">
      <c r="A87" s="18">
        <v>2.5000000000000001E-3</v>
      </c>
      <c r="B87" s="3">
        <f t="shared" si="31"/>
        <v>48025410262.343384</v>
      </c>
      <c r="C87">
        <f t="shared" si="32"/>
        <v>1517574000000</v>
      </c>
      <c r="F87" s="10">
        <f t="shared" si="33"/>
        <v>3.1646173604940113</v>
      </c>
    </row>
    <row r="88" spans="1:7" ht="15" x14ac:dyDescent="0.25">
      <c r="A88" s="18">
        <v>5.0000000000000001E-3</v>
      </c>
      <c r="B88" s="3">
        <f t="shared" si="31"/>
        <v>75167085445.036896</v>
      </c>
      <c r="C88">
        <f t="shared" si="32"/>
        <v>1517574000000</v>
      </c>
      <c r="F88" s="10">
        <f t="shared" si="33"/>
        <v>4.9531084115197608</v>
      </c>
    </row>
    <row r="89" spans="1:7" ht="15" x14ac:dyDescent="0.25">
      <c r="A89" s="19">
        <v>0.01</v>
      </c>
      <c r="B89" s="3">
        <f t="shared" si="31"/>
        <v>111642216527.02682</v>
      </c>
      <c r="C89">
        <f t="shared" si="32"/>
        <v>1517574000000</v>
      </c>
      <c r="F89" s="10">
        <f t="shared" si="33"/>
        <v>7.3566242257067413</v>
      </c>
    </row>
    <row r="90" spans="1:7" ht="15" x14ac:dyDescent="0.25">
      <c r="A90" s="19">
        <v>0.02</v>
      </c>
      <c r="B90" s="3">
        <f t="shared" si="31"/>
        <v>168587932536.99939</v>
      </c>
      <c r="C90">
        <f t="shared" si="32"/>
        <v>1517574000000</v>
      </c>
      <c r="F90" s="10">
        <f t="shared" si="33"/>
        <v>11.109041966783789</v>
      </c>
    </row>
  </sheetData>
  <pageMargins left="0.7" right="0.7" top="0.75" bottom="0.75" header="0.3" footer="0.3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opLeftCell="A66" workbookViewId="0">
      <selection activeCell="F85" sqref="F85:F90"/>
    </sheetView>
  </sheetViews>
  <sheetFormatPr defaultRowHeight="12.75" x14ac:dyDescent="0.2"/>
  <cols>
    <col min="1" max="1" width="14.7109375" customWidth="1"/>
    <col min="2" max="2" width="27.140625" customWidth="1"/>
    <col min="3" max="3" width="12.42578125" customWidth="1"/>
    <col min="5" max="5" width="14.42578125" customWidth="1"/>
    <col min="7" max="7" width="13.5703125" customWidth="1"/>
    <col min="9" max="9" width="12.85546875" customWidth="1"/>
    <col min="11" max="11" width="13.42578125" customWidth="1"/>
    <col min="13" max="13" width="14" customWidth="1"/>
    <col min="14" max="14" width="16" customWidth="1"/>
    <col min="15" max="15" width="12.5703125" customWidth="1"/>
    <col min="16" max="16" width="14.28515625" customWidth="1"/>
    <col min="17" max="17" width="23.85546875" customWidth="1"/>
    <col min="18" max="18" width="14.140625" customWidth="1"/>
    <col min="19" max="19" width="13.5703125" customWidth="1"/>
    <col min="257" max="257" width="14.7109375" customWidth="1"/>
    <col min="258" max="258" width="15.140625" customWidth="1"/>
    <col min="259" max="259" width="12.42578125" customWidth="1"/>
    <col min="261" max="261" width="14.42578125" customWidth="1"/>
    <col min="263" max="263" width="13.5703125" customWidth="1"/>
    <col min="265" max="265" width="12.85546875" customWidth="1"/>
    <col min="267" max="267" width="13.42578125" customWidth="1"/>
    <col min="269" max="269" width="14" customWidth="1"/>
    <col min="270" max="270" width="16" customWidth="1"/>
    <col min="271" max="271" width="12.5703125" customWidth="1"/>
    <col min="272" max="272" width="14.28515625" customWidth="1"/>
    <col min="273" max="273" width="23.85546875" customWidth="1"/>
    <col min="274" max="274" width="14.140625" customWidth="1"/>
    <col min="275" max="275" width="13.5703125" customWidth="1"/>
    <col min="513" max="513" width="14.7109375" customWidth="1"/>
    <col min="514" max="514" width="15.140625" customWidth="1"/>
    <col min="515" max="515" width="12.42578125" customWidth="1"/>
    <col min="517" max="517" width="14.42578125" customWidth="1"/>
    <col min="519" max="519" width="13.5703125" customWidth="1"/>
    <col min="521" max="521" width="12.85546875" customWidth="1"/>
    <col min="523" max="523" width="13.42578125" customWidth="1"/>
    <col min="525" max="525" width="14" customWidth="1"/>
    <col min="526" max="526" width="16" customWidth="1"/>
    <col min="527" max="527" width="12.5703125" customWidth="1"/>
    <col min="528" max="528" width="14.28515625" customWidth="1"/>
    <col min="529" max="529" width="23.85546875" customWidth="1"/>
    <col min="530" max="530" width="14.140625" customWidth="1"/>
    <col min="531" max="531" width="13.5703125" customWidth="1"/>
    <col min="769" max="769" width="14.7109375" customWidth="1"/>
    <col min="770" max="770" width="15.140625" customWidth="1"/>
    <col min="771" max="771" width="12.42578125" customWidth="1"/>
    <col min="773" max="773" width="14.42578125" customWidth="1"/>
    <col min="775" max="775" width="13.5703125" customWidth="1"/>
    <col min="777" max="777" width="12.85546875" customWidth="1"/>
    <col min="779" max="779" width="13.42578125" customWidth="1"/>
    <col min="781" max="781" width="14" customWidth="1"/>
    <col min="782" max="782" width="16" customWidth="1"/>
    <col min="783" max="783" width="12.5703125" customWidth="1"/>
    <col min="784" max="784" width="14.28515625" customWidth="1"/>
    <col min="785" max="785" width="23.85546875" customWidth="1"/>
    <col min="786" max="786" width="14.140625" customWidth="1"/>
    <col min="787" max="787" width="13.5703125" customWidth="1"/>
    <col min="1025" max="1025" width="14.7109375" customWidth="1"/>
    <col min="1026" max="1026" width="15.140625" customWidth="1"/>
    <col min="1027" max="1027" width="12.42578125" customWidth="1"/>
    <col min="1029" max="1029" width="14.42578125" customWidth="1"/>
    <col min="1031" max="1031" width="13.5703125" customWidth="1"/>
    <col min="1033" max="1033" width="12.85546875" customWidth="1"/>
    <col min="1035" max="1035" width="13.42578125" customWidth="1"/>
    <col min="1037" max="1037" width="14" customWidth="1"/>
    <col min="1038" max="1038" width="16" customWidth="1"/>
    <col min="1039" max="1039" width="12.5703125" customWidth="1"/>
    <col min="1040" max="1040" width="14.28515625" customWidth="1"/>
    <col min="1041" max="1041" width="23.85546875" customWidth="1"/>
    <col min="1042" max="1042" width="14.140625" customWidth="1"/>
    <col min="1043" max="1043" width="13.5703125" customWidth="1"/>
    <col min="1281" max="1281" width="14.7109375" customWidth="1"/>
    <col min="1282" max="1282" width="15.140625" customWidth="1"/>
    <col min="1283" max="1283" width="12.42578125" customWidth="1"/>
    <col min="1285" max="1285" width="14.42578125" customWidth="1"/>
    <col min="1287" max="1287" width="13.5703125" customWidth="1"/>
    <col min="1289" max="1289" width="12.85546875" customWidth="1"/>
    <col min="1291" max="1291" width="13.42578125" customWidth="1"/>
    <col min="1293" max="1293" width="14" customWidth="1"/>
    <col min="1294" max="1294" width="16" customWidth="1"/>
    <col min="1295" max="1295" width="12.5703125" customWidth="1"/>
    <col min="1296" max="1296" width="14.28515625" customWidth="1"/>
    <col min="1297" max="1297" width="23.85546875" customWidth="1"/>
    <col min="1298" max="1298" width="14.140625" customWidth="1"/>
    <col min="1299" max="1299" width="13.5703125" customWidth="1"/>
    <col min="1537" max="1537" width="14.7109375" customWidth="1"/>
    <col min="1538" max="1538" width="15.140625" customWidth="1"/>
    <col min="1539" max="1539" width="12.42578125" customWidth="1"/>
    <col min="1541" max="1541" width="14.42578125" customWidth="1"/>
    <col min="1543" max="1543" width="13.5703125" customWidth="1"/>
    <col min="1545" max="1545" width="12.85546875" customWidth="1"/>
    <col min="1547" max="1547" width="13.42578125" customWidth="1"/>
    <col min="1549" max="1549" width="14" customWidth="1"/>
    <col min="1550" max="1550" width="16" customWidth="1"/>
    <col min="1551" max="1551" width="12.5703125" customWidth="1"/>
    <col min="1552" max="1552" width="14.28515625" customWidth="1"/>
    <col min="1553" max="1553" width="23.85546875" customWidth="1"/>
    <col min="1554" max="1554" width="14.140625" customWidth="1"/>
    <col min="1555" max="1555" width="13.5703125" customWidth="1"/>
    <col min="1793" max="1793" width="14.7109375" customWidth="1"/>
    <col min="1794" max="1794" width="15.140625" customWidth="1"/>
    <col min="1795" max="1795" width="12.42578125" customWidth="1"/>
    <col min="1797" max="1797" width="14.42578125" customWidth="1"/>
    <col min="1799" max="1799" width="13.5703125" customWidth="1"/>
    <col min="1801" max="1801" width="12.85546875" customWidth="1"/>
    <col min="1803" max="1803" width="13.42578125" customWidth="1"/>
    <col min="1805" max="1805" width="14" customWidth="1"/>
    <col min="1806" max="1806" width="16" customWidth="1"/>
    <col min="1807" max="1807" width="12.5703125" customWidth="1"/>
    <col min="1808" max="1808" width="14.28515625" customWidth="1"/>
    <col min="1809" max="1809" width="23.85546875" customWidth="1"/>
    <col min="1810" max="1810" width="14.140625" customWidth="1"/>
    <col min="1811" max="1811" width="13.5703125" customWidth="1"/>
    <col min="2049" max="2049" width="14.7109375" customWidth="1"/>
    <col min="2050" max="2050" width="15.140625" customWidth="1"/>
    <col min="2051" max="2051" width="12.42578125" customWidth="1"/>
    <col min="2053" max="2053" width="14.42578125" customWidth="1"/>
    <col min="2055" max="2055" width="13.5703125" customWidth="1"/>
    <col min="2057" max="2057" width="12.85546875" customWidth="1"/>
    <col min="2059" max="2059" width="13.42578125" customWidth="1"/>
    <col min="2061" max="2061" width="14" customWidth="1"/>
    <col min="2062" max="2062" width="16" customWidth="1"/>
    <col min="2063" max="2063" width="12.5703125" customWidth="1"/>
    <col min="2064" max="2064" width="14.28515625" customWidth="1"/>
    <col min="2065" max="2065" width="23.85546875" customWidth="1"/>
    <col min="2066" max="2066" width="14.140625" customWidth="1"/>
    <col min="2067" max="2067" width="13.5703125" customWidth="1"/>
    <col min="2305" max="2305" width="14.7109375" customWidth="1"/>
    <col min="2306" max="2306" width="15.140625" customWidth="1"/>
    <col min="2307" max="2307" width="12.42578125" customWidth="1"/>
    <col min="2309" max="2309" width="14.42578125" customWidth="1"/>
    <col min="2311" max="2311" width="13.5703125" customWidth="1"/>
    <col min="2313" max="2313" width="12.85546875" customWidth="1"/>
    <col min="2315" max="2315" width="13.42578125" customWidth="1"/>
    <col min="2317" max="2317" width="14" customWidth="1"/>
    <col min="2318" max="2318" width="16" customWidth="1"/>
    <col min="2319" max="2319" width="12.5703125" customWidth="1"/>
    <col min="2320" max="2320" width="14.28515625" customWidth="1"/>
    <col min="2321" max="2321" width="23.85546875" customWidth="1"/>
    <col min="2322" max="2322" width="14.140625" customWidth="1"/>
    <col min="2323" max="2323" width="13.5703125" customWidth="1"/>
    <col min="2561" max="2561" width="14.7109375" customWidth="1"/>
    <col min="2562" max="2562" width="15.140625" customWidth="1"/>
    <col min="2563" max="2563" width="12.42578125" customWidth="1"/>
    <col min="2565" max="2565" width="14.42578125" customWidth="1"/>
    <col min="2567" max="2567" width="13.5703125" customWidth="1"/>
    <col min="2569" max="2569" width="12.85546875" customWidth="1"/>
    <col min="2571" max="2571" width="13.42578125" customWidth="1"/>
    <col min="2573" max="2573" width="14" customWidth="1"/>
    <col min="2574" max="2574" width="16" customWidth="1"/>
    <col min="2575" max="2575" width="12.5703125" customWidth="1"/>
    <col min="2576" max="2576" width="14.28515625" customWidth="1"/>
    <col min="2577" max="2577" width="23.85546875" customWidth="1"/>
    <col min="2578" max="2578" width="14.140625" customWidth="1"/>
    <col min="2579" max="2579" width="13.5703125" customWidth="1"/>
    <col min="2817" max="2817" width="14.7109375" customWidth="1"/>
    <col min="2818" max="2818" width="15.140625" customWidth="1"/>
    <col min="2819" max="2819" width="12.42578125" customWidth="1"/>
    <col min="2821" max="2821" width="14.42578125" customWidth="1"/>
    <col min="2823" max="2823" width="13.5703125" customWidth="1"/>
    <col min="2825" max="2825" width="12.85546875" customWidth="1"/>
    <col min="2827" max="2827" width="13.42578125" customWidth="1"/>
    <col min="2829" max="2829" width="14" customWidth="1"/>
    <col min="2830" max="2830" width="16" customWidth="1"/>
    <col min="2831" max="2831" width="12.5703125" customWidth="1"/>
    <col min="2832" max="2832" width="14.28515625" customWidth="1"/>
    <col min="2833" max="2833" width="23.85546875" customWidth="1"/>
    <col min="2834" max="2834" width="14.140625" customWidth="1"/>
    <col min="2835" max="2835" width="13.5703125" customWidth="1"/>
    <col min="3073" max="3073" width="14.7109375" customWidth="1"/>
    <col min="3074" max="3074" width="15.140625" customWidth="1"/>
    <col min="3075" max="3075" width="12.42578125" customWidth="1"/>
    <col min="3077" max="3077" width="14.42578125" customWidth="1"/>
    <col min="3079" max="3079" width="13.5703125" customWidth="1"/>
    <col min="3081" max="3081" width="12.85546875" customWidth="1"/>
    <col min="3083" max="3083" width="13.42578125" customWidth="1"/>
    <col min="3085" max="3085" width="14" customWidth="1"/>
    <col min="3086" max="3086" width="16" customWidth="1"/>
    <col min="3087" max="3087" width="12.5703125" customWidth="1"/>
    <col min="3088" max="3088" width="14.28515625" customWidth="1"/>
    <col min="3089" max="3089" width="23.85546875" customWidth="1"/>
    <col min="3090" max="3090" width="14.140625" customWidth="1"/>
    <col min="3091" max="3091" width="13.5703125" customWidth="1"/>
    <col min="3329" max="3329" width="14.7109375" customWidth="1"/>
    <col min="3330" max="3330" width="15.140625" customWidth="1"/>
    <col min="3331" max="3331" width="12.42578125" customWidth="1"/>
    <col min="3333" max="3333" width="14.42578125" customWidth="1"/>
    <col min="3335" max="3335" width="13.5703125" customWidth="1"/>
    <col min="3337" max="3337" width="12.85546875" customWidth="1"/>
    <col min="3339" max="3339" width="13.42578125" customWidth="1"/>
    <col min="3341" max="3341" width="14" customWidth="1"/>
    <col min="3342" max="3342" width="16" customWidth="1"/>
    <col min="3343" max="3343" width="12.5703125" customWidth="1"/>
    <col min="3344" max="3344" width="14.28515625" customWidth="1"/>
    <col min="3345" max="3345" width="23.85546875" customWidth="1"/>
    <col min="3346" max="3346" width="14.140625" customWidth="1"/>
    <col min="3347" max="3347" width="13.5703125" customWidth="1"/>
    <col min="3585" max="3585" width="14.7109375" customWidth="1"/>
    <col min="3586" max="3586" width="15.140625" customWidth="1"/>
    <col min="3587" max="3587" width="12.42578125" customWidth="1"/>
    <col min="3589" max="3589" width="14.42578125" customWidth="1"/>
    <col min="3591" max="3591" width="13.5703125" customWidth="1"/>
    <col min="3593" max="3593" width="12.85546875" customWidth="1"/>
    <col min="3595" max="3595" width="13.42578125" customWidth="1"/>
    <col min="3597" max="3597" width="14" customWidth="1"/>
    <col min="3598" max="3598" width="16" customWidth="1"/>
    <col min="3599" max="3599" width="12.5703125" customWidth="1"/>
    <col min="3600" max="3600" width="14.28515625" customWidth="1"/>
    <col min="3601" max="3601" width="23.85546875" customWidth="1"/>
    <col min="3602" max="3602" width="14.140625" customWidth="1"/>
    <col min="3603" max="3603" width="13.5703125" customWidth="1"/>
    <col min="3841" max="3841" width="14.7109375" customWidth="1"/>
    <col min="3842" max="3842" width="15.140625" customWidth="1"/>
    <col min="3843" max="3843" width="12.42578125" customWidth="1"/>
    <col min="3845" max="3845" width="14.42578125" customWidth="1"/>
    <col min="3847" max="3847" width="13.5703125" customWidth="1"/>
    <col min="3849" max="3849" width="12.85546875" customWidth="1"/>
    <col min="3851" max="3851" width="13.42578125" customWidth="1"/>
    <col min="3853" max="3853" width="14" customWidth="1"/>
    <col min="3854" max="3854" width="16" customWidth="1"/>
    <col min="3855" max="3855" width="12.5703125" customWidth="1"/>
    <col min="3856" max="3856" width="14.28515625" customWidth="1"/>
    <col min="3857" max="3857" width="23.85546875" customWidth="1"/>
    <col min="3858" max="3858" width="14.140625" customWidth="1"/>
    <col min="3859" max="3859" width="13.5703125" customWidth="1"/>
    <col min="4097" max="4097" width="14.7109375" customWidth="1"/>
    <col min="4098" max="4098" width="15.140625" customWidth="1"/>
    <col min="4099" max="4099" width="12.42578125" customWidth="1"/>
    <col min="4101" max="4101" width="14.42578125" customWidth="1"/>
    <col min="4103" max="4103" width="13.5703125" customWidth="1"/>
    <col min="4105" max="4105" width="12.85546875" customWidth="1"/>
    <col min="4107" max="4107" width="13.42578125" customWidth="1"/>
    <col min="4109" max="4109" width="14" customWidth="1"/>
    <col min="4110" max="4110" width="16" customWidth="1"/>
    <col min="4111" max="4111" width="12.5703125" customWidth="1"/>
    <col min="4112" max="4112" width="14.28515625" customWidth="1"/>
    <col min="4113" max="4113" width="23.85546875" customWidth="1"/>
    <col min="4114" max="4114" width="14.140625" customWidth="1"/>
    <col min="4115" max="4115" width="13.5703125" customWidth="1"/>
    <col min="4353" max="4353" width="14.7109375" customWidth="1"/>
    <col min="4354" max="4354" width="15.140625" customWidth="1"/>
    <col min="4355" max="4355" width="12.42578125" customWidth="1"/>
    <col min="4357" max="4357" width="14.42578125" customWidth="1"/>
    <col min="4359" max="4359" width="13.5703125" customWidth="1"/>
    <col min="4361" max="4361" width="12.85546875" customWidth="1"/>
    <col min="4363" max="4363" width="13.42578125" customWidth="1"/>
    <col min="4365" max="4365" width="14" customWidth="1"/>
    <col min="4366" max="4366" width="16" customWidth="1"/>
    <col min="4367" max="4367" width="12.5703125" customWidth="1"/>
    <col min="4368" max="4368" width="14.28515625" customWidth="1"/>
    <col min="4369" max="4369" width="23.85546875" customWidth="1"/>
    <col min="4370" max="4370" width="14.140625" customWidth="1"/>
    <col min="4371" max="4371" width="13.5703125" customWidth="1"/>
    <col min="4609" max="4609" width="14.7109375" customWidth="1"/>
    <col min="4610" max="4610" width="15.140625" customWidth="1"/>
    <col min="4611" max="4611" width="12.42578125" customWidth="1"/>
    <col min="4613" max="4613" width="14.42578125" customWidth="1"/>
    <col min="4615" max="4615" width="13.5703125" customWidth="1"/>
    <col min="4617" max="4617" width="12.85546875" customWidth="1"/>
    <col min="4619" max="4619" width="13.42578125" customWidth="1"/>
    <col min="4621" max="4621" width="14" customWidth="1"/>
    <col min="4622" max="4622" width="16" customWidth="1"/>
    <col min="4623" max="4623" width="12.5703125" customWidth="1"/>
    <col min="4624" max="4624" width="14.28515625" customWidth="1"/>
    <col min="4625" max="4625" width="23.85546875" customWidth="1"/>
    <col min="4626" max="4626" width="14.140625" customWidth="1"/>
    <col min="4627" max="4627" width="13.5703125" customWidth="1"/>
    <col min="4865" max="4865" width="14.7109375" customWidth="1"/>
    <col min="4866" max="4866" width="15.140625" customWidth="1"/>
    <col min="4867" max="4867" width="12.42578125" customWidth="1"/>
    <col min="4869" max="4869" width="14.42578125" customWidth="1"/>
    <col min="4871" max="4871" width="13.5703125" customWidth="1"/>
    <col min="4873" max="4873" width="12.85546875" customWidth="1"/>
    <col min="4875" max="4875" width="13.42578125" customWidth="1"/>
    <col min="4877" max="4877" width="14" customWidth="1"/>
    <col min="4878" max="4878" width="16" customWidth="1"/>
    <col min="4879" max="4879" width="12.5703125" customWidth="1"/>
    <col min="4880" max="4880" width="14.28515625" customWidth="1"/>
    <col min="4881" max="4881" width="23.85546875" customWidth="1"/>
    <col min="4882" max="4882" width="14.140625" customWidth="1"/>
    <col min="4883" max="4883" width="13.5703125" customWidth="1"/>
    <col min="5121" max="5121" width="14.7109375" customWidth="1"/>
    <col min="5122" max="5122" width="15.140625" customWidth="1"/>
    <col min="5123" max="5123" width="12.42578125" customWidth="1"/>
    <col min="5125" max="5125" width="14.42578125" customWidth="1"/>
    <col min="5127" max="5127" width="13.5703125" customWidth="1"/>
    <col min="5129" max="5129" width="12.85546875" customWidth="1"/>
    <col min="5131" max="5131" width="13.42578125" customWidth="1"/>
    <col min="5133" max="5133" width="14" customWidth="1"/>
    <col min="5134" max="5134" width="16" customWidth="1"/>
    <col min="5135" max="5135" width="12.5703125" customWidth="1"/>
    <col min="5136" max="5136" width="14.28515625" customWidth="1"/>
    <col min="5137" max="5137" width="23.85546875" customWidth="1"/>
    <col min="5138" max="5138" width="14.140625" customWidth="1"/>
    <col min="5139" max="5139" width="13.5703125" customWidth="1"/>
    <col min="5377" max="5377" width="14.7109375" customWidth="1"/>
    <col min="5378" max="5378" width="15.140625" customWidth="1"/>
    <col min="5379" max="5379" width="12.42578125" customWidth="1"/>
    <col min="5381" max="5381" width="14.42578125" customWidth="1"/>
    <col min="5383" max="5383" width="13.5703125" customWidth="1"/>
    <col min="5385" max="5385" width="12.85546875" customWidth="1"/>
    <col min="5387" max="5387" width="13.42578125" customWidth="1"/>
    <col min="5389" max="5389" width="14" customWidth="1"/>
    <col min="5390" max="5390" width="16" customWidth="1"/>
    <col min="5391" max="5391" width="12.5703125" customWidth="1"/>
    <col min="5392" max="5392" width="14.28515625" customWidth="1"/>
    <col min="5393" max="5393" width="23.85546875" customWidth="1"/>
    <col min="5394" max="5394" width="14.140625" customWidth="1"/>
    <col min="5395" max="5395" width="13.5703125" customWidth="1"/>
    <col min="5633" max="5633" width="14.7109375" customWidth="1"/>
    <col min="5634" max="5634" width="15.140625" customWidth="1"/>
    <col min="5635" max="5635" width="12.42578125" customWidth="1"/>
    <col min="5637" max="5637" width="14.42578125" customWidth="1"/>
    <col min="5639" max="5639" width="13.5703125" customWidth="1"/>
    <col min="5641" max="5641" width="12.85546875" customWidth="1"/>
    <col min="5643" max="5643" width="13.42578125" customWidth="1"/>
    <col min="5645" max="5645" width="14" customWidth="1"/>
    <col min="5646" max="5646" width="16" customWidth="1"/>
    <col min="5647" max="5647" width="12.5703125" customWidth="1"/>
    <col min="5648" max="5648" width="14.28515625" customWidth="1"/>
    <col min="5649" max="5649" width="23.85546875" customWidth="1"/>
    <col min="5650" max="5650" width="14.140625" customWidth="1"/>
    <col min="5651" max="5651" width="13.5703125" customWidth="1"/>
    <col min="5889" max="5889" width="14.7109375" customWidth="1"/>
    <col min="5890" max="5890" width="15.140625" customWidth="1"/>
    <col min="5891" max="5891" width="12.42578125" customWidth="1"/>
    <col min="5893" max="5893" width="14.42578125" customWidth="1"/>
    <col min="5895" max="5895" width="13.5703125" customWidth="1"/>
    <col min="5897" max="5897" width="12.85546875" customWidth="1"/>
    <col min="5899" max="5899" width="13.42578125" customWidth="1"/>
    <col min="5901" max="5901" width="14" customWidth="1"/>
    <col min="5902" max="5902" width="16" customWidth="1"/>
    <col min="5903" max="5903" width="12.5703125" customWidth="1"/>
    <col min="5904" max="5904" width="14.28515625" customWidth="1"/>
    <col min="5905" max="5905" width="23.85546875" customWidth="1"/>
    <col min="5906" max="5906" width="14.140625" customWidth="1"/>
    <col min="5907" max="5907" width="13.5703125" customWidth="1"/>
    <col min="6145" max="6145" width="14.7109375" customWidth="1"/>
    <col min="6146" max="6146" width="15.140625" customWidth="1"/>
    <col min="6147" max="6147" width="12.42578125" customWidth="1"/>
    <col min="6149" max="6149" width="14.42578125" customWidth="1"/>
    <col min="6151" max="6151" width="13.5703125" customWidth="1"/>
    <col min="6153" max="6153" width="12.85546875" customWidth="1"/>
    <col min="6155" max="6155" width="13.42578125" customWidth="1"/>
    <col min="6157" max="6157" width="14" customWidth="1"/>
    <col min="6158" max="6158" width="16" customWidth="1"/>
    <col min="6159" max="6159" width="12.5703125" customWidth="1"/>
    <col min="6160" max="6160" width="14.28515625" customWidth="1"/>
    <col min="6161" max="6161" width="23.85546875" customWidth="1"/>
    <col min="6162" max="6162" width="14.140625" customWidth="1"/>
    <col min="6163" max="6163" width="13.5703125" customWidth="1"/>
    <col min="6401" max="6401" width="14.7109375" customWidth="1"/>
    <col min="6402" max="6402" width="15.140625" customWidth="1"/>
    <col min="6403" max="6403" width="12.42578125" customWidth="1"/>
    <col min="6405" max="6405" width="14.42578125" customWidth="1"/>
    <col min="6407" max="6407" width="13.5703125" customWidth="1"/>
    <col min="6409" max="6409" width="12.85546875" customWidth="1"/>
    <col min="6411" max="6411" width="13.42578125" customWidth="1"/>
    <col min="6413" max="6413" width="14" customWidth="1"/>
    <col min="6414" max="6414" width="16" customWidth="1"/>
    <col min="6415" max="6415" width="12.5703125" customWidth="1"/>
    <col min="6416" max="6416" width="14.28515625" customWidth="1"/>
    <col min="6417" max="6417" width="23.85546875" customWidth="1"/>
    <col min="6418" max="6418" width="14.140625" customWidth="1"/>
    <col min="6419" max="6419" width="13.5703125" customWidth="1"/>
    <col min="6657" max="6657" width="14.7109375" customWidth="1"/>
    <col min="6658" max="6658" width="15.140625" customWidth="1"/>
    <col min="6659" max="6659" width="12.42578125" customWidth="1"/>
    <col min="6661" max="6661" width="14.42578125" customWidth="1"/>
    <col min="6663" max="6663" width="13.5703125" customWidth="1"/>
    <col min="6665" max="6665" width="12.85546875" customWidth="1"/>
    <col min="6667" max="6667" width="13.42578125" customWidth="1"/>
    <col min="6669" max="6669" width="14" customWidth="1"/>
    <col min="6670" max="6670" width="16" customWidth="1"/>
    <col min="6671" max="6671" width="12.5703125" customWidth="1"/>
    <col min="6672" max="6672" width="14.28515625" customWidth="1"/>
    <col min="6673" max="6673" width="23.85546875" customWidth="1"/>
    <col min="6674" max="6674" width="14.140625" customWidth="1"/>
    <col min="6675" max="6675" width="13.5703125" customWidth="1"/>
    <col min="6913" max="6913" width="14.7109375" customWidth="1"/>
    <col min="6914" max="6914" width="15.140625" customWidth="1"/>
    <col min="6915" max="6915" width="12.42578125" customWidth="1"/>
    <col min="6917" max="6917" width="14.42578125" customWidth="1"/>
    <col min="6919" max="6919" width="13.5703125" customWidth="1"/>
    <col min="6921" max="6921" width="12.85546875" customWidth="1"/>
    <col min="6923" max="6923" width="13.42578125" customWidth="1"/>
    <col min="6925" max="6925" width="14" customWidth="1"/>
    <col min="6926" max="6926" width="16" customWidth="1"/>
    <col min="6927" max="6927" width="12.5703125" customWidth="1"/>
    <col min="6928" max="6928" width="14.28515625" customWidth="1"/>
    <col min="6929" max="6929" width="23.85546875" customWidth="1"/>
    <col min="6930" max="6930" width="14.140625" customWidth="1"/>
    <col min="6931" max="6931" width="13.5703125" customWidth="1"/>
    <col min="7169" max="7169" width="14.7109375" customWidth="1"/>
    <col min="7170" max="7170" width="15.140625" customWidth="1"/>
    <col min="7171" max="7171" width="12.42578125" customWidth="1"/>
    <col min="7173" max="7173" width="14.42578125" customWidth="1"/>
    <col min="7175" max="7175" width="13.5703125" customWidth="1"/>
    <col min="7177" max="7177" width="12.85546875" customWidth="1"/>
    <col min="7179" max="7179" width="13.42578125" customWidth="1"/>
    <col min="7181" max="7181" width="14" customWidth="1"/>
    <col min="7182" max="7182" width="16" customWidth="1"/>
    <col min="7183" max="7183" width="12.5703125" customWidth="1"/>
    <col min="7184" max="7184" width="14.28515625" customWidth="1"/>
    <col min="7185" max="7185" width="23.85546875" customWidth="1"/>
    <col min="7186" max="7186" width="14.140625" customWidth="1"/>
    <col min="7187" max="7187" width="13.5703125" customWidth="1"/>
    <col min="7425" max="7425" width="14.7109375" customWidth="1"/>
    <col min="7426" max="7426" width="15.140625" customWidth="1"/>
    <col min="7427" max="7427" width="12.42578125" customWidth="1"/>
    <col min="7429" max="7429" width="14.42578125" customWidth="1"/>
    <col min="7431" max="7431" width="13.5703125" customWidth="1"/>
    <col min="7433" max="7433" width="12.85546875" customWidth="1"/>
    <col min="7435" max="7435" width="13.42578125" customWidth="1"/>
    <col min="7437" max="7437" width="14" customWidth="1"/>
    <col min="7438" max="7438" width="16" customWidth="1"/>
    <col min="7439" max="7439" width="12.5703125" customWidth="1"/>
    <col min="7440" max="7440" width="14.28515625" customWidth="1"/>
    <col min="7441" max="7441" width="23.85546875" customWidth="1"/>
    <col min="7442" max="7442" width="14.140625" customWidth="1"/>
    <col min="7443" max="7443" width="13.5703125" customWidth="1"/>
    <col min="7681" max="7681" width="14.7109375" customWidth="1"/>
    <col min="7682" max="7682" width="15.140625" customWidth="1"/>
    <col min="7683" max="7683" width="12.42578125" customWidth="1"/>
    <col min="7685" max="7685" width="14.42578125" customWidth="1"/>
    <col min="7687" max="7687" width="13.5703125" customWidth="1"/>
    <col min="7689" max="7689" width="12.85546875" customWidth="1"/>
    <col min="7691" max="7691" width="13.42578125" customWidth="1"/>
    <col min="7693" max="7693" width="14" customWidth="1"/>
    <col min="7694" max="7694" width="16" customWidth="1"/>
    <col min="7695" max="7695" width="12.5703125" customWidth="1"/>
    <col min="7696" max="7696" width="14.28515625" customWidth="1"/>
    <col min="7697" max="7697" width="23.85546875" customWidth="1"/>
    <col min="7698" max="7698" width="14.140625" customWidth="1"/>
    <col min="7699" max="7699" width="13.5703125" customWidth="1"/>
    <col min="7937" max="7937" width="14.7109375" customWidth="1"/>
    <col min="7938" max="7938" width="15.140625" customWidth="1"/>
    <col min="7939" max="7939" width="12.42578125" customWidth="1"/>
    <col min="7941" max="7941" width="14.42578125" customWidth="1"/>
    <col min="7943" max="7943" width="13.5703125" customWidth="1"/>
    <col min="7945" max="7945" width="12.85546875" customWidth="1"/>
    <col min="7947" max="7947" width="13.42578125" customWidth="1"/>
    <col min="7949" max="7949" width="14" customWidth="1"/>
    <col min="7950" max="7950" width="16" customWidth="1"/>
    <col min="7951" max="7951" width="12.5703125" customWidth="1"/>
    <col min="7952" max="7952" width="14.28515625" customWidth="1"/>
    <col min="7953" max="7953" width="23.85546875" customWidth="1"/>
    <col min="7954" max="7954" width="14.140625" customWidth="1"/>
    <col min="7955" max="7955" width="13.5703125" customWidth="1"/>
    <col min="8193" max="8193" width="14.7109375" customWidth="1"/>
    <col min="8194" max="8194" width="15.140625" customWidth="1"/>
    <col min="8195" max="8195" width="12.42578125" customWidth="1"/>
    <col min="8197" max="8197" width="14.42578125" customWidth="1"/>
    <col min="8199" max="8199" width="13.5703125" customWidth="1"/>
    <col min="8201" max="8201" width="12.85546875" customWidth="1"/>
    <col min="8203" max="8203" width="13.42578125" customWidth="1"/>
    <col min="8205" max="8205" width="14" customWidth="1"/>
    <col min="8206" max="8206" width="16" customWidth="1"/>
    <col min="8207" max="8207" width="12.5703125" customWidth="1"/>
    <col min="8208" max="8208" width="14.28515625" customWidth="1"/>
    <col min="8209" max="8209" width="23.85546875" customWidth="1"/>
    <col min="8210" max="8210" width="14.140625" customWidth="1"/>
    <col min="8211" max="8211" width="13.5703125" customWidth="1"/>
    <col min="8449" max="8449" width="14.7109375" customWidth="1"/>
    <col min="8450" max="8450" width="15.140625" customWidth="1"/>
    <col min="8451" max="8451" width="12.42578125" customWidth="1"/>
    <col min="8453" max="8453" width="14.42578125" customWidth="1"/>
    <col min="8455" max="8455" width="13.5703125" customWidth="1"/>
    <col min="8457" max="8457" width="12.85546875" customWidth="1"/>
    <col min="8459" max="8459" width="13.42578125" customWidth="1"/>
    <col min="8461" max="8461" width="14" customWidth="1"/>
    <col min="8462" max="8462" width="16" customWidth="1"/>
    <col min="8463" max="8463" width="12.5703125" customWidth="1"/>
    <col min="8464" max="8464" width="14.28515625" customWidth="1"/>
    <col min="8465" max="8465" width="23.85546875" customWidth="1"/>
    <col min="8466" max="8466" width="14.140625" customWidth="1"/>
    <col min="8467" max="8467" width="13.5703125" customWidth="1"/>
    <col min="8705" max="8705" width="14.7109375" customWidth="1"/>
    <col min="8706" max="8706" width="15.140625" customWidth="1"/>
    <col min="8707" max="8707" width="12.42578125" customWidth="1"/>
    <col min="8709" max="8709" width="14.42578125" customWidth="1"/>
    <col min="8711" max="8711" width="13.5703125" customWidth="1"/>
    <col min="8713" max="8713" width="12.85546875" customWidth="1"/>
    <col min="8715" max="8715" width="13.42578125" customWidth="1"/>
    <col min="8717" max="8717" width="14" customWidth="1"/>
    <col min="8718" max="8718" width="16" customWidth="1"/>
    <col min="8719" max="8719" width="12.5703125" customWidth="1"/>
    <col min="8720" max="8720" width="14.28515625" customWidth="1"/>
    <col min="8721" max="8721" width="23.85546875" customWidth="1"/>
    <col min="8722" max="8722" width="14.140625" customWidth="1"/>
    <col min="8723" max="8723" width="13.5703125" customWidth="1"/>
    <col min="8961" max="8961" width="14.7109375" customWidth="1"/>
    <col min="8962" max="8962" width="15.140625" customWidth="1"/>
    <col min="8963" max="8963" width="12.42578125" customWidth="1"/>
    <col min="8965" max="8965" width="14.42578125" customWidth="1"/>
    <col min="8967" max="8967" width="13.5703125" customWidth="1"/>
    <col min="8969" max="8969" width="12.85546875" customWidth="1"/>
    <col min="8971" max="8971" width="13.42578125" customWidth="1"/>
    <col min="8973" max="8973" width="14" customWidth="1"/>
    <col min="8974" max="8974" width="16" customWidth="1"/>
    <col min="8975" max="8975" width="12.5703125" customWidth="1"/>
    <col min="8976" max="8976" width="14.28515625" customWidth="1"/>
    <col min="8977" max="8977" width="23.85546875" customWidth="1"/>
    <col min="8978" max="8978" width="14.140625" customWidth="1"/>
    <col min="8979" max="8979" width="13.5703125" customWidth="1"/>
    <col min="9217" max="9217" width="14.7109375" customWidth="1"/>
    <col min="9218" max="9218" width="15.140625" customWidth="1"/>
    <col min="9219" max="9219" width="12.42578125" customWidth="1"/>
    <col min="9221" max="9221" width="14.42578125" customWidth="1"/>
    <col min="9223" max="9223" width="13.5703125" customWidth="1"/>
    <col min="9225" max="9225" width="12.85546875" customWidth="1"/>
    <col min="9227" max="9227" width="13.42578125" customWidth="1"/>
    <col min="9229" max="9229" width="14" customWidth="1"/>
    <col min="9230" max="9230" width="16" customWidth="1"/>
    <col min="9231" max="9231" width="12.5703125" customWidth="1"/>
    <col min="9232" max="9232" width="14.28515625" customWidth="1"/>
    <col min="9233" max="9233" width="23.85546875" customWidth="1"/>
    <col min="9234" max="9234" width="14.140625" customWidth="1"/>
    <col min="9235" max="9235" width="13.5703125" customWidth="1"/>
    <col min="9473" max="9473" width="14.7109375" customWidth="1"/>
    <col min="9474" max="9474" width="15.140625" customWidth="1"/>
    <col min="9475" max="9475" width="12.42578125" customWidth="1"/>
    <col min="9477" max="9477" width="14.42578125" customWidth="1"/>
    <col min="9479" max="9479" width="13.5703125" customWidth="1"/>
    <col min="9481" max="9481" width="12.85546875" customWidth="1"/>
    <col min="9483" max="9483" width="13.42578125" customWidth="1"/>
    <col min="9485" max="9485" width="14" customWidth="1"/>
    <col min="9486" max="9486" width="16" customWidth="1"/>
    <col min="9487" max="9487" width="12.5703125" customWidth="1"/>
    <col min="9488" max="9488" width="14.28515625" customWidth="1"/>
    <col min="9489" max="9489" width="23.85546875" customWidth="1"/>
    <col min="9490" max="9490" width="14.140625" customWidth="1"/>
    <col min="9491" max="9491" width="13.5703125" customWidth="1"/>
    <col min="9729" max="9729" width="14.7109375" customWidth="1"/>
    <col min="9730" max="9730" width="15.140625" customWidth="1"/>
    <col min="9731" max="9731" width="12.42578125" customWidth="1"/>
    <col min="9733" max="9733" width="14.42578125" customWidth="1"/>
    <col min="9735" max="9735" width="13.5703125" customWidth="1"/>
    <col min="9737" max="9737" width="12.85546875" customWidth="1"/>
    <col min="9739" max="9739" width="13.42578125" customWidth="1"/>
    <col min="9741" max="9741" width="14" customWidth="1"/>
    <col min="9742" max="9742" width="16" customWidth="1"/>
    <col min="9743" max="9743" width="12.5703125" customWidth="1"/>
    <col min="9744" max="9744" width="14.28515625" customWidth="1"/>
    <col min="9745" max="9745" width="23.85546875" customWidth="1"/>
    <col min="9746" max="9746" width="14.140625" customWidth="1"/>
    <col min="9747" max="9747" width="13.5703125" customWidth="1"/>
    <col min="9985" max="9985" width="14.7109375" customWidth="1"/>
    <col min="9986" max="9986" width="15.140625" customWidth="1"/>
    <col min="9987" max="9987" width="12.42578125" customWidth="1"/>
    <col min="9989" max="9989" width="14.42578125" customWidth="1"/>
    <col min="9991" max="9991" width="13.5703125" customWidth="1"/>
    <col min="9993" max="9993" width="12.85546875" customWidth="1"/>
    <col min="9995" max="9995" width="13.42578125" customWidth="1"/>
    <col min="9997" max="9997" width="14" customWidth="1"/>
    <col min="9998" max="9998" width="16" customWidth="1"/>
    <col min="9999" max="9999" width="12.5703125" customWidth="1"/>
    <col min="10000" max="10000" width="14.28515625" customWidth="1"/>
    <col min="10001" max="10001" width="23.85546875" customWidth="1"/>
    <col min="10002" max="10002" width="14.140625" customWidth="1"/>
    <col min="10003" max="10003" width="13.5703125" customWidth="1"/>
    <col min="10241" max="10241" width="14.7109375" customWidth="1"/>
    <col min="10242" max="10242" width="15.140625" customWidth="1"/>
    <col min="10243" max="10243" width="12.42578125" customWidth="1"/>
    <col min="10245" max="10245" width="14.42578125" customWidth="1"/>
    <col min="10247" max="10247" width="13.5703125" customWidth="1"/>
    <col min="10249" max="10249" width="12.85546875" customWidth="1"/>
    <col min="10251" max="10251" width="13.42578125" customWidth="1"/>
    <col min="10253" max="10253" width="14" customWidth="1"/>
    <col min="10254" max="10254" width="16" customWidth="1"/>
    <col min="10255" max="10255" width="12.5703125" customWidth="1"/>
    <col min="10256" max="10256" width="14.28515625" customWidth="1"/>
    <col min="10257" max="10257" width="23.85546875" customWidth="1"/>
    <col min="10258" max="10258" width="14.140625" customWidth="1"/>
    <col min="10259" max="10259" width="13.5703125" customWidth="1"/>
    <col min="10497" max="10497" width="14.7109375" customWidth="1"/>
    <col min="10498" max="10498" width="15.140625" customWidth="1"/>
    <col min="10499" max="10499" width="12.42578125" customWidth="1"/>
    <col min="10501" max="10501" width="14.42578125" customWidth="1"/>
    <col min="10503" max="10503" width="13.5703125" customWidth="1"/>
    <col min="10505" max="10505" width="12.85546875" customWidth="1"/>
    <col min="10507" max="10507" width="13.42578125" customWidth="1"/>
    <col min="10509" max="10509" width="14" customWidth="1"/>
    <col min="10510" max="10510" width="16" customWidth="1"/>
    <col min="10511" max="10511" width="12.5703125" customWidth="1"/>
    <col min="10512" max="10512" width="14.28515625" customWidth="1"/>
    <col min="10513" max="10513" width="23.85546875" customWidth="1"/>
    <col min="10514" max="10514" width="14.140625" customWidth="1"/>
    <col min="10515" max="10515" width="13.5703125" customWidth="1"/>
    <col min="10753" max="10753" width="14.7109375" customWidth="1"/>
    <col min="10754" max="10754" width="15.140625" customWidth="1"/>
    <col min="10755" max="10755" width="12.42578125" customWidth="1"/>
    <col min="10757" max="10757" width="14.42578125" customWidth="1"/>
    <col min="10759" max="10759" width="13.5703125" customWidth="1"/>
    <col min="10761" max="10761" width="12.85546875" customWidth="1"/>
    <col min="10763" max="10763" width="13.42578125" customWidth="1"/>
    <col min="10765" max="10765" width="14" customWidth="1"/>
    <col min="10766" max="10766" width="16" customWidth="1"/>
    <col min="10767" max="10767" width="12.5703125" customWidth="1"/>
    <col min="10768" max="10768" width="14.28515625" customWidth="1"/>
    <col min="10769" max="10769" width="23.85546875" customWidth="1"/>
    <col min="10770" max="10770" width="14.140625" customWidth="1"/>
    <col min="10771" max="10771" width="13.5703125" customWidth="1"/>
    <col min="11009" max="11009" width="14.7109375" customWidth="1"/>
    <col min="11010" max="11010" width="15.140625" customWidth="1"/>
    <col min="11011" max="11011" width="12.42578125" customWidth="1"/>
    <col min="11013" max="11013" width="14.42578125" customWidth="1"/>
    <col min="11015" max="11015" width="13.5703125" customWidth="1"/>
    <col min="11017" max="11017" width="12.85546875" customWidth="1"/>
    <col min="11019" max="11019" width="13.42578125" customWidth="1"/>
    <col min="11021" max="11021" width="14" customWidth="1"/>
    <col min="11022" max="11022" width="16" customWidth="1"/>
    <col min="11023" max="11023" width="12.5703125" customWidth="1"/>
    <col min="11024" max="11024" width="14.28515625" customWidth="1"/>
    <col min="11025" max="11025" width="23.85546875" customWidth="1"/>
    <col min="11026" max="11026" width="14.140625" customWidth="1"/>
    <col min="11027" max="11027" width="13.5703125" customWidth="1"/>
    <col min="11265" max="11265" width="14.7109375" customWidth="1"/>
    <col min="11266" max="11266" width="15.140625" customWidth="1"/>
    <col min="11267" max="11267" width="12.42578125" customWidth="1"/>
    <col min="11269" max="11269" width="14.42578125" customWidth="1"/>
    <col min="11271" max="11271" width="13.5703125" customWidth="1"/>
    <col min="11273" max="11273" width="12.85546875" customWidth="1"/>
    <col min="11275" max="11275" width="13.42578125" customWidth="1"/>
    <col min="11277" max="11277" width="14" customWidth="1"/>
    <col min="11278" max="11278" width="16" customWidth="1"/>
    <col min="11279" max="11279" width="12.5703125" customWidth="1"/>
    <col min="11280" max="11280" width="14.28515625" customWidth="1"/>
    <col min="11281" max="11281" width="23.85546875" customWidth="1"/>
    <col min="11282" max="11282" width="14.140625" customWidth="1"/>
    <col min="11283" max="11283" width="13.5703125" customWidth="1"/>
    <col min="11521" max="11521" width="14.7109375" customWidth="1"/>
    <col min="11522" max="11522" width="15.140625" customWidth="1"/>
    <col min="11523" max="11523" width="12.42578125" customWidth="1"/>
    <col min="11525" max="11525" width="14.42578125" customWidth="1"/>
    <col min="11527" max="11527" width="13.5703125" customWidth="1"/>
    <col min="11529" max="11529" width="12.85546875" customWidth="1"/>
    <col min="11531" max="11531" width="13.42578125" customWidth="1"/>
    <col min="11533" max="11533" width="14" customWidth="1"/>
    <col min="11534" max="11534" width="16" customWidth="1"/>
    <col min="11535" max="11535" width="12.5703125" customWidth="1"/>
    <col min="11536" max="11536" width="14.28515625" customWidth="1"/>
    <col min="11537" max="11537" width="23.85546875" customWidth="1"/>
    <col min="11538" max="11538" width="14.140625" customWidth="1"/>
    <col min="11539" max="11539" width="13.5703125" customWidth="1"/>
    <col min="11777" max="11777" width="14.7109375" customWidth="1"/>
    <col min="11778" max="11778" width="15.140625" customWidth="1"/>
    <col min="11779" max="11779" width="12.42578125" customWidth="1"/>
    <col min="11781" max="11781" width="14.42578125" customWidth="1"/>
    <col min="11783" max="11783" width="13.5703125" customWidth="1"/>
    <col min="11785" max="11785" width="12.85546875" customWidth="1"/>
    <col min="11787" max="11787" width="13.42578125" customWidth="1"/>
    <col min="11789" max="11789" width="14" customWidth="1"/>
    <col min="11790" max="11790" width="16" customWidth="1"/>
    <col min="11791" max="11791" width="12.5703125" customWidth="1"/>
    <col min="11792" max="11792" width="14.28515625" customWidth="1"/>
    <col min="11793" max="11793" width="23.85546875" customWidth="1"/>
    <col min="11794" max="11794" width="14.140625" customWidth="1"/>
    <col min="11795" max="11795" width="13.5703125" customWidth="1"/>
    <col min="12033" max="12033" width="14.7109375" customWidth="1"/>
    <col min="12034" max="12034" width="15.140625" customWidth="1"/>
    <col min="12035" max="12035" width="12.42578125" customWidth="1"/>
    <col min="12037" max="12037" width="14.42578125" customWidth="1"/>
    <col min="12039" max="12039" width="13.5703125" customWidth="1"/>
    <col min="12041" max="12041" width="12.85546875" customWidth="1"/>
    <col min="12043" max="12043" width="13.42578125" customWidth="1"/>
    <col min="12045" max="12045" width="14" customWidth="1"/>
    <col min="12046" max="12046" width="16" customWidth="1"/>
    <col min="12047" max="12047" width="12.5703125" customWidth="1"/>
    <col min="12048" max="12048" width="14.28515625" customWidth="1"/>
    <col min="12049" max="12049" width="23.85546875" customWidth="1"/>
    <col min="12050" max="12050" width="14.140625" customWidth="1"/>
    <col min="12051" max="12051" width="13.5703125" customWidth="1"/>
    <col min="12289" max="12289" width="14.7109375" customWidth="1"/>
    <col min="12290" max="12290" width="15.140625" customWidth="1"/>
    <col min="12291" max="12291" width="12.42578125" customWidth="1"/>
    <col min="12293" max="12293" width="14.42578125" customWidth="1"/>
    <col min="12295" max="12295" width="13.5703125" customWidth="1"/>
    <col min="12297" max="12297" width="12.85546875" customWidth="1"/>
    <col min="12299" max="12299" width="13.42578125" customWidth="1"/>
    <col min="12301" max="12301" width="14" customWidth="1"/>
    <col min="12302" max="12302" width="16" customWidth="1"/>
    <col min="12303" max="12303" width="12.5703125" customWidth="1"/>
    <col min="12304" max="12304" width="14.28515625" customWidth="1"/>
    <col min="12305" max="12305" width="23.85546875" customWidth="1"/>
    <col min="12306" max="12306" width="14.140625" customWidth="1"/>
    <col min="12307" max="12307" width="13.5703125" customWidth="1"/>
    <col min="12545" max="12545" width="14.7109375" customWidth="1"/>
    <col min="12546" max="12546" width="15.140625" customWidth="1"/>
    <col min="12547" max="12547" width="12.42578125" customWidth="1"/>
    <col min="12549" max="12549" width="14.42578125" customWidth="1"/>
    <col min="12551" max="12551" width="13.5703125" customWidth="1"/>
    <col min="12553" max="12553" width="12.85546875" customWidth="1"/>
    <col min="12555" max="12555" width="13.42578125" customWidth="1"/>
    <col min="12557" max="12557" width="14" customWidth="1"/>
    <col min="12558" max="12558" width="16" customWidth="1"/>
    <col min="12559" max="12559" width="12.5703125" customWidth="1"/>
    <col min="12560" max="12560" width="14.28515625" customWidth="1"/>
    <col min="12561" max="12561" width="23.85546875" customWidth="1"/>
    <col min="12562" max="12562" width="14.140625" customWidth="1"/>
    <col min="12563" max="12563" width="13.5703125" customWidth="1"/>
    <col min="12801" max="12801" width="14.7109375" customWidth="1"/>
    <col min="12802" max="12802" width="15.140625" customWidth="1"/>
    <col min="12803" max="12803" width="12.42578125" customWidth="1"/>
    <col min="12805" max="12805" width="14.42578125" customWidth="1"/>
    <col min="12807" max="12807" width="13.5703125" customWidth="1"/>
    <col min="12809" max="12809" width="12.85546875" customWidth="1"/>
    <col min="12811" max="12811" width="13.42578125" customWidth="1"/>
    <col min="12813" max="12813" width="14" customWidth="1"/>
    <col min="12814" max="12814" width="16" customWidth="1"/>
    <col min="12815" max="12815" width="12.5703125" customWidth="1"/>
    <col min="12816" max="12816" width="14.28515625" customWidth="1"/>
    <col min="12817" max="12817" width="23.85546875" customWidth="1"/>
    <col min="12818" max="12818" width="14.140625" customWidth="1"/>
    <col min="12819" max="12819" width="13.5703125" customWidth="1"/>
    <col min="13057" max="13057" width="14.7109375" customWidth="1"/>
    <col min="13058" max="13058" width="15.140625" customWidth="1"/>
    <col min="13059" max="13059" width="12.42578125" customWidth="1"/>
    <col min="13061" max="13061" width="14.42578125" customWidth="1"/>
    <col min="13063" max="13063" width="13.5703125" customWidth="1"/>
    <col min="13065" max="13065" width="12.85546875" customWidth="1"/>
    <col min="13067" max="13067" width="13.42578125" customWidth="1"/>
    <col min="13069" max="13069" width="14" customWidth="1"/>
    <col min="13070" max="13070" width="16" customWidth="1"/>
    <col min="13071" max="13071" width="12.5703125" customWidth="1"/>
    <col min="13072" max="13072" width="14.28515625" customWidth="1"/>
    <col min="13073" max="13073" width="23.85546875" customWidth="1"/>
    <col min="13074" max="13074" width="14.140625" customWidth="1"/>
    <col min="13075" max="13075" width="13.5703125" customWidth="1"/>
    <col min="13313" max="13313" width="14.7109375" customWidth="1"/>
    <col min="13314" max="13314" width="15.140625" customWidth="1"/>
    <col min="13315" max="13315" width="12.42578125" customWidth="1"/>
    <col min="13317" max="13317" width="14.42578125" customWidth="1"/>
    <col min="13319" max="13319" width="13.5703125" customWidth="1"/>
    <col min="13321" max="13321" width="12.85546875" customWidth="1"/>
    <col min="13323" max="13323" width="13.42578125" customWidth="1"/>
    <col min="13325" max="13325" width="14" customWidth="1"/>
    <col min="13326" max="13326" width="16" customWidth="1"/>
    <col min="13327" max="13327" width="12.5703125" customWidth="1"/>
    <col min="13328" max="13328" width="14.28515625" customWidth="1"/>
    <col min="13329" max="13329" width="23.85546875" customWidth="1"/>
    <col min="13330" max="13330" width="14.140625" customWidth="1"/>
    <col min="13331" max="13331" width="13.5703125" customWidth="1"/>
    <col min="13569" max="13569" width="14.7109375" customWidth="1"/>
    <col min="13570" max="13570" width="15.140625" customWidth="1"/>
    <col min="13571" max="13571" width="12.42578125" customWidth="1"/>
    <col min="13573" max="13573" width="14.42578125" customWidth="1"/>
    <col min="13575" max="13575" width="13.5703125" customWidth="1"/>
    <col min="13577" max="13577" width="12.85546875" customWidth="1"/>
    <col min="13579" max="13579" width="13.42578125" customWidth="1"/>
    <col min="13581" max="13581" width="14" customWidth="1"/>
    <col min="13582" max="13582" width="16" customWidth="1"/>
    <col min="13583" max="13583" width="12.5703125" customWidth="1"/>
    <col min="13584" max="13584" width="14.28515625" customWidth="1"/>
    <col min="13585" max="13585" width="23.85546875" customWidth="1"/>
    <col min="13586" max="13586" width="14.140625" customWidth="1"/>
    <col min="13587" max="13587" width="13.5703125" customWidth="1"/>
    <col min="13825" max="13825" width="14.7109375" customWidth="1"/>
    <col min="13826" max="13826" width="15.140625" customWidth="1"/>
    <col min="13827" max="13827" width="12.42578125" customWidth="1"/>
    <col min="13829" max="13829" width="14.42578125" customWidth="1"/>
    <col min="13831" max="13831" width="13.5703125" customWidth="1"/>
    <col min="13833" max="13833" width="12.85546875" customWidth="1"/>
    <col min="13835" max="13835" width="13.42578125" customWidth="1"/>
    <col min="13837" max="13837" width="14" customWidth="1"/>
    <col min="13838" max="13838" width="16" customWidth="1"/>
    <col min="13839" max="13839" width="12.5703125" customWidth="1"/>
    <col min="13840" max="13840" width="14.28515625" customWidth="1"/>
    <col min="13841" max="13841" width="23.85546875" customWidth="1"/>
    <col min="13842" max="13842" width="14.140625" customWidth="1"/>
    <col min="13843" max="13843" width="13.5703125" customWidth="1"/>
    <col min="14081" max="14081" width="14.7109375" customWidth="1"/>
    <col min="14082" max="14082" width="15.140625" customWidth="1"/>
    <col min="14083" max="14083" width="12.42578125" customWidth="1"/>
    <col min="14085" max="14085" width="14.42578125" customWidth="1"/>
    <col min="14087" max="14087" width="13.5703125" customWidth="1"/>
    <col min="14089" max="14089" width="12.85546875" customWidth="1"/>
    <col min="14091" max="14091" width="13.42578125" customWidth="1"/>
    <col min="14093" max="14093" width="14" customWidth="1"/>
    <col min="14094" max="14094" width="16" customWidth="1"/>
    <col min="14095" max="14095" width="12.5703125" customWidth="1"/>
    <col min="14096" max="14096" width="14.28515625" customWidth="1"/>
    <col min="14097" max="14097" width="23.85546875" customWidth="1"/>
    <col min="14098" max="14098" width="14.140625" customWidth="1"/>
    <col min="14099" max="14099" width="13.5703125" customWidth="1"/>
    <col min="14337" max="14337" width="14.7109375" customWidth="1"/>
    <col min="14338" max="14338" width="15.140625" customWidth="1"/>
    <col min="14339" max="14339" width="12.42578125" customWidth="1"/>
    <col min="14341" max="14341" width="14.42578125" customWidth="1"/>
    <col min="14343" max="14343" width="13.5703125" customWidth="1"/>
    <col min="14345" max="14345" width="12.85546875" customWidth="1"/>
    <col min="14347" max="14347" width="13.42578125" customWidth="1"/>
    <col min="14349" max="14349" width="14" customWidth="1"/>
    <col min="14350" max="14350" width="16" customWidth="1"/>
    <col min="14351" max="14351" width="12.5703125" customWidth="1"/>
    <col min="14352" max="14352" width="14.28515625" customWidth="1"/>
    <col min="14353" max="14353" width="23.85546875" customWidth="1"/>
    <col min="14354" max="14354" width="14.140625" customWidth="1"/>
    <col min="14355" max="14355" width="13.5703125" customWidth="1"/>
    <col min="14593" max="14593" width="14.7109375" customWidth="1"/>
    <col min="14594" max="14594" width="15.140625" customWidth="1"/>
    <col min="14595" max="14595" width="12.42578125" customWidth="1"/>
    <col min="14597" max="14597" width="14.42578125" customWidth="1"/>
    <col min="14599" max="14599" width="13.5703125" customWidth="1"/>
    <col min="14601" max="14601" width="12.85546875" customWidth="1"/>
    <col min="14603" max="14603" width="13.42578125" customWidth="1"/>
    <col min="14605" max="14605" width="14" customWidth="1"/>
    <col min="14606" max="14606" width="16" customWidth="1"/>
    <col min="14607" max="14607" width="12.5703125" customWidth="1"/>
    <col min="14608" max="14608" width="14.28515625" customWidth="1"/>
    <col min="14609" max="14609" width="23.85546875" customWidth="1"/>
    <col min="14610" max="14610" width="14.140625" customWidth="1"/>
    <col min="14611" max="14611" width="13.5703125" customWidth="1"/>
    <col min="14849" max="14849" width="14.7109375" customWidth="1"/>
    <col min="14850" max="14850" width="15.140625" customWidth="1"/>
    <col min="14851" max="14851" width="12.42578125" customWidth="1"/>
    <col min="14853" max="14853" width="14.42578125" customWidth="1"/>
    <col min="14855" max="14855" width="13.5703125" customWidth="1"/>
    <col min="14857" max="14857" width="12.85546875" customWidth="1"/>
    <col min="14859" max="14859" width="13.42578125" customWidth="1"/>
    <col min="14861" max="14861" width="14" customWidth="1"/>
    <col min="14862" max="14862" width="16" customWidth="1"/>
    <col min="14863" max="14863" width="12.5703125" customWidth="1"/>
    <col min="14864" max="14864" width="14.28515625" customWidth="1"/>
    <col min="14865" max="14865" width="23.85546875" customWidth="1"/>
    <col min="14866" max="14866" width="14.140625" customWidth="1"/>
    <col min="14867" max="14867" width="13.5703125" customWidth="1"/>
    <col min="15105" max="15105" width="14.7109375" customWidth="1"/>
    <col min="15106" max="15106" width="15.140625" customWidth="1"/>
    <col min="15107" max="15107" width="12.42578125" customWidth="1"/>
    <col min="15109" max="15109" width="14.42578125" customWidth="1"/>
    <col min="15111" max="15111" width="13.5703125" customWidth="1"/>
    <col min="15113" max="15113" width="12.85546875" customWidth="1"/>
    <col min="15115" max="15115" width="13.42578125" customWidth="1"/>
    <col min="15117" max="15117" width="14" customWidth="1"/>
    <col min="15118" max="15118" width="16" customWidth="1"/>
    <col min="15119" max="15119" width="12.5703125" customWidth="1"/>
    <col min="15120" max="15120" width="14.28515625" customWidth="1"/>
    <col min="15121" max="15121" width="23.85546875" customWidth="1"/>
    <col min="15122" max="15122" width="14.140625" customWidth="1"/>
    <col min="15123" max="15123" width="13.5703125" customWidth="1"/>
    <col min="15361" max="15361" width="14.7109375" customWidth="1"/>
    <col min="15362" max="15362" width="15.140625" customWidth="1"/>
    <col min="15363" max="15363" width="12.42578125" customWidth="1"/>
    <col min="15365" max="15365" width="14.42578125" customWidth="1"/>
    <col min="15367" max="15367" width="13.5703125" customWidth="1"/>
    <col min="15369" max="15369" width="12.85546875" customWidth="1"/>
    <col min="15371" max="15371" width="13.42578125" customWidth="1"/>
    <col min="15373" max="15373" width="14" customWidth="1"/>
    <col min="15374" max="15374" width="16" customWidth="1"/>
    <col min="15375" max="15375" width="12.5703125" customWidth="1"/>
    <col min="15376" max="15376" width="14.28515625" customWidth="1"/>
    <col min="15377" max="15377" width="23.85546875" customWidth="1"/>
    <col min="15378" max="15378" width="14.140625" customWidth="1"/>
    <col min="15379" max="15379" width="13.5703125" customWidth="1"/>
    <col min="15617" max="15617" width="14.7109375" customWidth="1"/>
    <col min="15618" max="15618" width="15.140625" customWidth="1"/>
    <col min="15619" max="15619" width="12.42578125" customWidth="1"/>
    <col min="15621" max="15621" width="14.42578125" customWidth="1"/>
    <col min="15623" max="15623" width="13.5703125" customWidth="1"/>
    <col min="15625" max="15625" width="12.85546875" customWidth="1"/>
    <col min="15627" max="15627" width="13.42578125" customWidth="1"/>
    <col min="15629" max="15629" width="14" customWidth="1"/>
    <col min="15630" max="15630" width="16" customWidth="1"/>
    <col min="15631" max="15631" width="12.5703125" customWidth="1"/>
    <col min="15632" max="15632" width="14.28515625" customWidth="1"/>
    <col min="15633" max="15633" width="23.85546875" customWidth="1"/>
    <col min="15634" max="15634" width="14.140625" customWidth="1"/>
    <col min="15635" max="15635" width="13.5703125" customWidth="1"/>
    <col min="15873" max="15873" width="14.7109375" customWidth="1"/>
    <col min="15874" max="15874" width="15.140625" customWidth="1"/>
    <col min="15875" max="15875" width="12.42578125" customWidth="1"/>
    <col min="15877" max="15877" width="14.42578125" customWidth="1"/>
    <col min="15879" max="15879" width="13.5703125" customWidth="1"/>
    <col min="15881" max="15881" width="12.85546875" customWidth="1"/>
    <col min="15883" max="15883" width="13.42578125" customWidth="1"/>
    <col min="15885" max="15885" width="14" customWidth="1"/>
    <col min="15886" max="15886" width="16" customWidth="1"/>
    <col min="15887" max="15887" width="12.5703125" customWidth="1"/>
    <col min="15888" max="15888" width="14.28515625" customWidth="1"/>
    <col min="15889" max="15889" width="23.85546875" customWidth="1"/>
    <col min="15890" max="15890" width="14.140625" customWidth="1"/>
    <col min="15891" max="15891" width="13.5703125" customWidth="1"/>
    <col min="16129" max="16129" width="14.7109375" customWidth="1"/>
    <col min="16130" max="16130" width="15.140625" customWidth="1"/>
    <col min="16131" max="16131" width="12.42578125" customWidth="1"/>
    <col min="16133" max="16133" width="14.42578125" customWidth="1"/>
    <col min="16135" max="16135" width="13.5703125" customWidth="1"/>
    <col min="16137" max="16137" width="12.85546875" customWidth="1"/>
    <col min="16139" max="16139" width="13.42578125" customWidth="1"/>
    <col min="16141" max="16141" width="14" customWidth="1"/>
    <col min="16142" max="16142" width="16" customWidth="1"/>
    <col min="16143" max="16143" width="12.5703125" customWidth="1"/>
    <col min="16144" max="16144" width="14.28515625" customWidth="1"/>
    <col min="16145" max="16145" width="23.85546875" customWidth="1"/>
    <col min="16146" max="16146" width="14.140625" customWidth="1"/>
    <col min="16147" max="16147" width="13.570312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 t="s">
        <v>13</v>
      </c>
      <c r="B6">
        <v>0</v>
      </c>
      <c r="C6">
        <v>888.29873999999995</v>
      </c>
      <c r="D6">
        <v>0</v>
      </c>
      <c r="E6">
        <v>894.74349999999993</v>
      </c>
      <c r="F6">
        <v>1</v>
      </c>
      <c r="G6">
        <v>356.50803999999994</v>
      </c>
      <c r="H6">
        <v>0</v>
      </c>
      <c r="I6">
        <v>128.441474</v>
      </c>
      <c r="J6">
        <v>0</v>
      </c>
      <c r="K6">
        <v>51.292639999999999</v>
      </c>
      <c r="L6">
        <v>2</v>
      </c>
      <c r="M6">
        <v>21.996337999999998</v>
      </c>
      <c r="N6">
        <v>0</v>
      </c>
      <c r="O6">
        <v>9.4663450000000005</v>
      </c>
      <c r="P6" s="3">
        <f>(B6*C6)+(D6*E6)+(F6*G6)+(H6*I6)+(J6*K6)+(L6*M6)+(N6*O6)</f>
        <v>400.50071599999995</v>
      </c>
      <c r="S6" s="21"/>
    </row>
    <row r="7" spans="1:19" x14ac:dyDescent="0.2">
      <c r="A7">
        <v>20000</v>
      </c>
      <c r="B7">
        <v>20</v>
      </c>
      <c r="C7">
        <v>888.29873999999995</v>
      </c>
      <c r="D7">
        <v>12</v>
      </c>
      <c r="E7">
        <v>894.74349999999993</v>
      </c>
      <c r="F7">
        <v>21</v>
      </c>
      <c r="G7">
        <v>356.50803999999994</v>
      </c>
      <c r="H7">
        <v>73</v>
      </c>
      <c r="I7">
        <v>128.441474</v>
      </c>
      <c r="J7">
        <v>154</v>
      </c>
      <c r="K7">
        <v>51.292639999999999</v>
      </c>
      <c r="L7">
        <v>181</v>
      </c>
      <c r="M7">
        <v>21.996337999999998</v>
      </c>
      <c r="N7">
        <v>126</v>
      </c>
      <c r="O7">
        <v>9.4663450000000005</v>
      </c>
      <c r="P7" s="3">
        <f t="shared" ref="P7:P24" si="0">(B7*C7)+(D7*E7)+(F7*G7)+(H7*I7)+(J7*K7)+(L7*M7)+(N7*O7)</f>
        <v>58438.956449999998</v>
      </c>
      <c r="S7" s="21"/>
    </row>
    <row r="8" spans="1:19" x14ac:dyDescent="0.2">
      <c r="A8">
        <v>30000</v>
      </c>
      <c r="B8">
        <v>19</v>
      </c>
      <c r="C8">
        <v>888.29873999999995</v>
      </c>
      <c r="D8">
        <v>12</v>
      </c>
      <c r="E8">
        <v>894.74349999999993</v>
      </c>
      <c r="F8">
        <v>29</v>
      </c>
      <c r="G8">
        <v>356.50803999999994</v>
      </c>
      <c r="H8">
        <v>77</v>
      </c>
      <c r="I8">
        <v>128.441474</v>
      </c>
      <c r="J8">
        <v>140</v>
      </c>
      <c r="K8">
        <v>51.292639999999999</v>
      </c>
      <c r="L8">
        <v>200</v>
      </c>
      <c r="M8">
        <v>21.996337999999998</v>
      </c>
      <c r="N8">
        <v>154</v>
      </c>
      <c r="O8">
        <v>9.4663450000000005</v>
      </c>
      <c r="P8" s="3">
        <f t="shared" si="0"/>
        <v>60881.379047999988</v>
      </c>
      <c r="S8" s="21"/>
    </row>
    <row r="9" spans="1:19" x14ac:dyDescent="0.2">
      <c r="A9">
        <v>40000</v>
      </c>
      <c r="B9">
        <v>6</v>
      </c>
      <c r="C9">
        <v>888.29873999999995</v>
      </c>
      <c r="D9">
        <v>16</v>
      </c>
      <c r="E9">
        <v>894.74349999999993</v>
      </c>
      <c r="F9">
        <v>31</v>
      </c>
      <c r="G9">
        <v>356.50803999999994</v>
      </c>
      <c r="H9">
        <v>76</v>
      </c>
      <c r="I9">
        <v>128.441474</v>
      </c>
      <c r="J9">
        <v>129</v>
      </c>
      <c r="K9">
        <v>51.292639999999999</v>
      </c>
      <c r="L9">
        <v>160</v>
      </c>
      <c r="M9">
        <v>21.996337999999998</v>
      </c>
      <c r="N9">
        <v>134</v>
      </c>
      <c r="O9">
        <v>9.4663450000000005</v>
      </c>
      <c r="P9" s="3">
        <f t="shared" si="0"/>
        <v>51863.644573999998</v>
      </c>
      <c r="S9" s="21"/>
    </row>
    <row r="10" spans="1:19" x14ac:dyDescent="0.2">
      <c r="A10">
        <v>50000</v>
      </c>
      <c r="B10">
        <v>12</v>
      </c>
      <c r="C10">
        <v>888.29873999999995</v>
      </c>
      <c r="D10">
        <v>12</v>
      </c>
      <c r="E10">
        <v>894.74349999999993</v>
      </c>
      <c r="F10">
        <v>20</v>
      </c>
      <c r="G10">
        <v>356.50803999999994</v>
      </c>
      <c r="H10">
        <v>49</v>
      </c>
      <c r="I10">
        <v>128.441474</v>
      </c>
      <c r="J10">
        <v>99</v>
      </c>
      <c r="K10">
        <v>51.292639999999999</v>
      </c>
      <c r="L10">
        <v>140</v>
      </c>
      <c r="M10">
        <v>21.996337999999998</v>
      </c>
      <c r="N10">
        <v>105</v>
      </c>
      <c r="O10">
        <v>9.4663450000000005</v>
      </c>
      <c r="P10" s="3">
        <f t="shared" si="0"/>
        <v>43971.724810999993</v>
      </c>
      <c r="S10" s="21"/>
    </row>
    <row r="11" spans="1:19" x14ac:dyDescent="0.2">
      <c r="A11">
        <v>60000</v>
      </c>
      <c r="B11">
        <v>11</v>
      </c>
      <c r="C11">
        <v>888.29873999999995</v>
      </c>
      <c r="D11">
        <v>8</v>
      </c>
      <c r="E11">
        <v>894.74349999999993</v>
      </c>
      <c r="F11">
        <v>18</v>
      </c>
      <c r="G11">
        <v>356.50803999999994</v>
      </c>
      <c r="H11">
        <v>53</v>
      </c>
      <c r="I11">
        <v>128.441474</v>
      </c>
      <c r="J11">
        <v>93</v>
      </c>
      <c r="K11">
        <v>51.292639999999999</v>
      </c>
      <c r="L11">
        <v>106</v>
      </c>
      <c r="M11">
        <v>21.996337999999998</v>
      </c>
      <c r="N11">
        <v>74</v>
      </c>
      <c r="O11">
        <v>9.4663450000000005</v>
      </c>
      <c r="P11" s="3">
        <f t="shared" si="0"/>
        <v>37956.113859999998</v>
      </c>
      <c r="Q11" s="3">
        <f t="shared" ref="Q11:Q22" si="1">Q12+P11</f>
        <v>231307.93481599994</v>
      </c>
      <c r="R11">
        <v>4599454</v>
      </c>
      <c r="S11" s="24">
        <f t="shared" ref="S11:S23" si="2">(Q11/R11)*100</f>
        <v>5.0290302895952417</v>
      </c>
    </row>
    <row r="12" spans="1:19" x14ac:dyDescent="0.2">
      <c r="A12">
        <v>70000</v>
      </c>
      <c r="B12">
        <v>5</v>
      </c>
      <c r="C12">
        <v>888.29873999999995</v>
      </c>
      <c r="D12">
        <v>7</v>
      </c>
      <c r="E12">
        <v>894.74349999999993</v>
      </c>
      <c r="F12">
        <v>14</v>
      </c>
      <c r="G12">
        <v>356.50803999999994</v>
      </c>
      <c r="H12">
        <v>43</v>
      </c>
      <c r="I12">
        <v>128.441474</v>
      </c>
      <c r="J12">
        <v>70</v>
      </c>
      <c r="K12">
        <v>51.292639999999999</v>
      </c>
      <c r="L12">
        <v>76</v>
      </c>
      <c r="M12">
        <v>21.996337999999998</v>
      </c>
      <c r="N12">
        <v>73</v>
      </c>
      <c r="O12">
        <v>9.4663450000000005</v>
      </c>
      <c r="P12" s="3">
        <f t="shared" si="0"/>
        <v>27172.043814999997</v>
      </c>
      <c r="Q12" s="3">
        <f t="shared" si="1"/>
        <v>193351.82095599995</v>
      </c>
      <c r="R12">
        <v>4599454</v>
      </c>
      <c r="S12" s="24">
        <f t="shared" si="2"/>
        <v>4.2037994282799644</v>
      </c>
    </row>
    <row r="13" spans="1:19" x14ac:dyDescent="0.2">
      <c r="A13">
        <v>80000</v>
      </c>
      <c r="B13">
        <v>3</v>
      </c>
      <c r="C13">
        <v>888.29873999999995</v>
      </c>
      <c r="D13">
        <v>4</v>
      </c>
      <c r="E13">
        <v>894.74349999999993</v>
      </c>
      <c r="F13">
        <v>7</v>
      </c>
      <c r="G13">
        <v>356.50803999999994</v>
      </c>
      <c r="H13">
        <v>34</v>
      </c>
      <c r="I13">
        <v>128.441474</v>
      </c>
      <c r="J13">
        <v>50</v>
      </c>
      <c r="K13">
        <v>51.292639999999999</v>
      </c>
      <c r="L13">
        <v>76</v>
      </c>
      <c r="M13">
        <v>21.996337999999998</v>
      </c>
      <c r="N13">
        <v>58</v>
      </c>
      <c r="O13">
        <v>9.4663450000000005</v>
      </c>
      <c r="P13" s="3">
        <f t="shared" si="0"/>
        <v>17891.838313999997</v>
      </c>
      <c r="Q13" s="3">
        <f t="shared" si="1"/>
        <v>166179.77714099997</v>
      </c>
      <c r="R13">
        <v>4599454</v>
      </c>
      <c r="S13" s="24">
        <f t="shared" si="2"/>
        <v>3.613032702164213</v>
      </c>
    </row>
    <row r="14" spans="1:19" x14ac:dyDescent="0.2">
      <c r="A14">
        <v>90000</v>
      </c>
      <c r="B14">
        <v>4</v>
      </c>
      <c r="C14">
        <v>888.29873999999995</v>
      </c>
      <c r="D14">
        <v>6</v>
      </c>
      <c r="E14">
        <v>894.74349999999993</v>
      </c>
      <c r="F14">
        <v>12</v>
      </c>
      <c r="G14">
        <v>356.50803999999994</v>
      </c>
      <c r="H14">
        <v>25</v>
      </c>
      <c r="I14">
        <v>128.441474</v>
      </c>
      <c r="J14">
        <v>57</v>
      </c>
      <c r="K14">
        <v>51.292639999999999</v>
      </c>
      <c r="L14">
        <v>70</v>
      </c>
      <c r="M14">
        <v>21.996337999999998</v>
      </c>
      <c r="N14">
        <v>41</v>
      </c>
      <c r="O14">
        <v>9.4663450000000005</v>
      </c>
      <c r="P14" s="3">
        <f t="shared" si="0"/>
        <v>21262.333575000001</v>
      </c>
      <c r="Q14" s="3">
        <f t="shared" si="1"/>
        <v>148287.93882699998</v>
      </c>
      <c r="R14">
        <v>4599454</v>
      </c>
      <c r="S14" s="24">
        <f t="shared" si="2"/>
        <v>3.2240335228268391</v>
      </c>
    </row>
    <row r="15" spans="1:19" x14ac:dyDescent="0.2">
      <c r="A15">
        <v>100000</v>
      </c>
      <c r="B15">
        <v>1</v>
      </c>
      <c r="C15">
        <v>888.29873999999995</v>
      </c>
      <c r="D15">
        <v>8</v>
      </c>
      <c r="E15">
        <v>894.74349999999993</v>
      </c>
      <c r="F15">
        <v>17</v>
      </c>
      <c r="G15">
        <v>356.50803999999994</v>
      </c>
      <c r="H15">
        <v>44</v>
      </c>
      <c r="I15">
        <v>128.441474</v>
      </c>
      <c r="J15">
        <v>111</v>
      </c>
      <c r="K15">
        <v>51.292639999999999</v>
      </c>
      <c r="L15">
        <v>100</v>
      </c>
      <c r="M15">
        <v>21.996337999999998</v>
      </c>
      <c r="N15">
        <v>65</v>
      </c>
      <c r="O15">
        <v>9.4663450000000005</v>
      </c>
      <c r="P15" s="3">
        <f t="shared" si="0"/>
        <v>28266.737540999995</v>
      </c>
      <c r="Q15" s="3">
        <f t="shared" si="1"/>
        <v>127025.60525199998</v>
      </c>
      <c r="R15">
        <v>4599454</v>
      </c>
      <c r="S15" s="24">
        <f t="shared" si="2"/>
        <v>2.761754009323715</v>
      </c>
    </row>
    <row r="16" spans="1:19" x14ac:dyDescent="0.2">
      <c r="A16">
        <v>120000</v>
      </c>
      <c r="B16">
        <v>0</v>
      </c>
      <c r="C16">
        <v>888.29873999999995</v>
      </c>
      <c r="D16">
        <v>4</v>
      </c>
      <c r="E16">
        <v>894.74349999999993</v>
      </c>
      <c r="F16">
        <v>17</v>
      </c>
      <c r="G16">
        <v>356.50803999999994</v>
      </c>
      <c r="H16">
        <v>39</v>
      </c>
      <c r="I16">
        <v>128.441474</v>
      </c>
      <c r="J16">
        <v>84</v>
      </c>
      <c r="K16">
        <v>51.292639999999999</v>
      </c>
      <c r="L16">
        <v>78</v>
      </c>
      <c r="M16">
        <v>21.996337999999998</v>
      </c>
      <c r="N16">
        <v>49</v>
      </c>
      <c r="O16">
        <v>9.4663450000000005</v>
      </c>
      <c r="P16" s="3">
        <f t="shared" si="0"/>
        <v>21136.975194999995</v>
      </c>
      <c r="Q16" s="3">
        <f t="shared" si="1"/>
        <v>98758.867710999984</v>
      </c>
      <c r="R16">
        <v>4599454</v>
      </c>
      <c r="S16" s="24">
        <f t="shared" si="2"/>
        <v>2.147186768494695</v>
      </c>
    </row>
    <row r="17" spans="1:19" x14ac:dyDescent="0.2">
      <c r="A17">
        <v>140000</v>
      </c>
      <c r="B17">
        <v>2</v>
      </c>
      <c r="C17">
        <v>888.29873999999995</v>
      </c>
      <c r="D17">
        <v>6</v>
      </c>
      <c r="E17">
        <v>894.74349999999993</v>
      </c>
      <c r="F17">
        <v>9</v>
      </c>
      <c r="G17">
        <v>356.50803999999994</v>
      </c>
      <c r="H17">
        <v>30</v>
      </c>
      <c r="I17">
        <v>128.441474</v>
      </c>
      <c r="J17">
        <v>70</v>
      </c>
      <c r="K17">
        <v>51.292639999999999</v>
      </c>
      <c r="L17">
        <v>73</v>
      </c>
      <c r="M17">
        <v>21.996337999999998</v>
      </c>
      <c r="N17">
        <v>50</v>
      </c>
      <c r="O17">
        <v>9.4663450000000005</v>
      </c>
      <c r="P17" s="3">
        <f t="shared" si="0"/>
        <v>19876.409783999996</v>
      </c>
      <c r="Q17" s="3">
        <f t="shared" si="1"/>
        <v>77621.892515999993</v>
      </c>
      <c r="R17">
        <v>4599454</v>
      </c>
      <c r="S17" s="24">
        <f t="shared" si="2"/>
        <v>1.6876327606711576</v>
      </c>
    </row>
    <row r="18" spans="1:19" x14ac:dyDescent="0.2">
      <c r="A18">
        <v>160000</v>
      </c>
      <c r="B18">
        <v>1</v>
      </c>
      <c r="C18">
        <v>888.29873999999995</v>
      </c>
      <c r="D18">
        <v>5</v>
      </c>
      <c r="E18">
        <v>894.74349999999993</v>
      </c>
      <c r="F18">
        <v>8</v>
      </c>
      <c r="G18">
        <v>356.50803999999994</v>
      </c>
      <c r="H18">
        <v>25</v>
      </c>
      <c r="I18">
        <v>128.441474</v>
      </c>
      <c r="J18">
        <v>50</v>
      </c>
      <c r="K18">
        <v>51.292639999999999</v>
      </c>
      <c r="L18">
        <v>61</v>
      </c>
      <c r="M18">
        <v>21.996337999999998</v>
      </c>
      <c r="N18">
        <v>30</v>
      </c>
      <c r="O18">
        <v>9.4663450000000005</v>
      </c>
      <c r="P18" s="3">
        <f t="shared" si="0"/>
        <v>15615.516377999998</v>
      </c>
      <c r="Q18" s="3">
        <f t="shared" si="1"/>
        <v>57745.482731999997</v>
      </c>
      <c r="R18">
        <v>4599454</v>
      </c>
      <c r="S18" s="24">
        <f t="shared" si="2"/>
        <v>1.2554856018127369</v>
      </c>
    </row>
    <row r="19" spans="1:19" x14ac:dyDescent="0.2">
      <c r="A19">
        <v>180000</v>
      </c>
      <c r="B19">
        <v>0</v>
      </c>
      <c r="C19">
        <v>888.29873999999995</v>
      </c>
      <c r="D19">
        <v>3</v>
      </c>
      <c r="E19">
        <v>894.74349999999993</v>
      </c>
      <c r="F19">
        <v>3</v>
      </c>
      <c r="G19">
        <v>356.50803999999994</v>
      </c>
      <c r="H19">
        <v>24</v>
      </c>
      <c r="I19">
        <v>128.441474</v>
      </c>
      <c r="J19">
        <v>25</v>
      </c>
      <c r="K19">
        <v>51.292639999999999</v>
      </c>
      <c r="L19">
        <v>37</v>
      </c>
      <c r="M19">
        <v>21.996337999999998</v>
      </c>
      <c r="N19">
        <v>30</v>
      </c>
      <c r="O19">
        <v>9.4663450000000005</v>
      </c>
      <c r="P19" s="3">
        <f t="shared" si="0"/>
        <v>9216.5208519999996</v>
      </c>
      <c r="Q19" s="3">
        <f t="shared" si="1"/>
        <v>42129.966353999996</v>
      </c>
      <c r="R19">
        <v>4599454</v>
      </c>
      <c r="S19" s="24">
        <f t="shared" si="2"/>
        <v>0.91597755633603462</v>
      </c>
    </row>
    <row r="20" spans="1:19" x14ac:dyDescent="0.2">
      <c r="A20">
        <v>200000</v>
      </c>
      <c r="B20">
        <v>0</v>
      </c>
      <c r="C20">
        <v>888.29873999999995</v>
      </c>
      <c r="D20">
        <v>1</v>
      </c>
      <c r="E20">
        <v>894.74349999999993</v>
      </c>
      <c r="F20">
        <v>18</v>
      </c>
      <c r="G20">
        <v>356.50803999999994</v>
      </c>
      <c r="H20">
        <v>49</v>
      </c>
      <c r="I20">
        <v>128.441474</v>
      </c>
      <c r="J20">
        <v>109</v>
      </c>
      <c r="K20">
        <v>51.292639999999999</v>
      </c>
      <c r="L20">
        <v>129</v>
      </c>
      <c r="M20">
        <v>21.996337999999998</v>
      </c>
      <c r="N20">
        <v>104</v>
      </c>
      <c r="O20">
        <v>9.4663450000000005</v>
      </c>
      <c r="P20" s="3">
        <f t="shared" si="0"/>
        <v>23018.445687999996</v>
      </c>
      <c r="Q20" s="3">
        <f t="shared" si="1"/>
        <v>32913.445501999995</v>
      </c>
      <c r="R20">
        <v>4599454</v>
      </c>
      <c r="S20" s="24">
        <f t="shared" si="2"/>
        <v>0.71559462279653185</v>
      </c>
    </row>
    <row r="21" spans="1:19" x14ac:dyDescent="0.2">
      <c r="A21">
        <v>350000</v>
      </c>
      <c r="B21">
        <v>1</v>
      </c>
      <c r="C21">
        <v>888.29873999999995</v>
      </c>
      <c r="D21">
        <v>1</v>
      </c>
      <c r="E21">
        <v>894.74349999999993</v>
      </c>
      <c r="F21">
        <v>2</v>
      </c>
      <c r="G21">
        <v>356.50803999999994</v>
      </c>
      <c r="H21">
        <v>9</v>
      </c>
      <c r="I21">
        <v>128.441474</v>
      </c>
      <c r="J21">
        <v>29</v>
      </c>
      <c r="K21">
        <v>51.292639999999999</v>
      </c>
      <c r="L21">
        <v>33</v>
      </c>
      <c r="M21">
        <v>21.996337999999998</v>
      </c>
      <c r="N21">
        <v>20</v>
      </c>
      <c r="O21">
        <v>9.4663450000000005</v>
      </c>
      <c r="P21" s="3">
        <f t="shared" si="0"/>
        <v>6054.7241999999997</v>
      </c>
      <c r="Q21" s="3">
        <f t="shared" si="1"/>
        <v>9894.9998139999989</v>
      </c>
      <c r="R21">
        <v>4599454</v>
      </c>
      <c r="S21" s="24">
        <f t="shared" si="2"/>
        <v>0.21513422710608693</v>
      </c>
    </row>
    <row r="22" spans="1:19" x14ac:dyDescent="0.2">
      <c r="A22">
        <v>500000</v>
      </c>
      <c r="B22">
        <v>0</v>
      </c>
      <c r="C22">
        <v>888.29873999999995</v>
      </c>
      <c r="D22">
        <v>1</v>
      </c>
      <c r="E22">
        <v>894.74349999999993</v>
      </c>
      <c r="F22">
        <v>2</v>
      </c>
      <c r="G22">
        <v>356.50803999999994</v>
      </c>
      <c r="H22">
        <v>2</v>
      </c>
      <c r="I22">
        <v>128.441474</v>
      </c>
      <c r="J22">
        <v>17</v>
      </c>
      <c r="K22">
        <v>51.292639999999999</v>
      </c>
      <c r="L22">
        <v>28</v>
      </c>
      <c r="M22">
        <v>21.996337999999998</v>
      </c>
      <c r="N22">
        <v>8</v>
      </c>
      <c r="O22">
        <v>9.4663450000000005</v>
      </c>
      <c r="P22" s="3">
        <f t="shared" si="0"/>
        <v>3428.2456319999997</v>
      </c>
      <c r="Q22" s="3">
        <f t="shared" si="1"/>
        <v>3840.2756139999997</v>
      </c>
      <c r="R22">
        <v>4599454</v>
      </c>
      <c r="S22" s="24">
        <f t="shared" si="2"/>
        <v>8.349416287237571E-2</v>
      </c>
    </row>
    <row r="23" spans="1:19" x14ac:dyDescent="0.2">
      <c r="A23" t="s">
        <v>12</v>
      </c>
      <c r="B23">
        <v>0</v>
      </c>
      <c r="C23">
        <v>888.29873999999995</v>
      </c>
      <c r="D23">
        <v>0</v>
      </c>
      <c r="E23">
        <v>894.74349999999993</v>
      </c>
      <c r="F23">
        <v>0</v>
      </c>
      <c r="G23">
        <v>356.50803999999994</v>
      </c>
      <c r="H23">
        <v>2</v>
      </c>
      <c r="I23">
        <v>128.441474</v>
      </c>
      <c r="J23">
        <v>1</v>
      </c>
      <c r="K23">
        <v>51.292639999999999</v>
      </c>
      <c r="L23">
        <v>3</v>
      </c>
      <c r="M23">
        <v>21.996337999999998</v>
      </c>
      <c r="N23">
        <v>4</v>
      </c>
      <c r="O23">
        <v>9.4663450000000005</v>
      </c>
      <c r="P23" s="3">
        <f t="shared" si="0"/>
        <v>412.02998200000002</v>
      </c>
      <c r="Q23" s="3">
        <f>P23</f>
        <v>412.02998200000002</v>
      </c>
      <c r="R23">
        <v>4599454</v>
      </c>
      <c r="S23" s="24">
        <f t="shared" si="2"/>
        <v>8.958236825501462E-3</v>
      </c>
    </row>
    <row r="24" spans="1:19" x14ac:dyDescent="0.2">
      <c r="A24" t="s">
        <v>3</v>
      </c>
      <c r="B24">
        <f t="shared" ref="B24:N24" si="3">SUM(B6:B23)</f>
        <v>85</v>
      </c>
      <c r="C24">
        <v>888.29873999999995</v>
      </c>
      <c r="D24">
        <f t="shared" si="3"/>
        <v>106</v>
      </c>
      <c r="E24">
        <v>894.74349999999993</v>
      </c>
      <c r="F24">
        <f t="shared" si="3"/>
        <v>229</v>
      </c>
      <c r="G24">
        <v>356.50803999999994</v>
      </c>
      <c r="H24">
        <f t="shared" si="3"/>
        <v>654</v>
      </c>
      <c r="I24">
        <v>128.441474</v>
      </c>
      <c r="J24">
        <f t="shared" si="3"/>
        <v>1288</v>
      </c>
      <c r="K24">
        <v>51.292639999999999</v>
      </c>
      <c r="L24">
        <f t="shared" si="3"/>
        <v>1553</v>
      </c>
      <c r="M24">
        <v>21.996337999999998</v>
      </c>
      <c r="N24">
        <f t="shared" si="3"/>
        <v>1125</v>
      </c>
      <c r="O24">
        <v>9.4663450000000005</v>
      </c>
      <c r="P24" s="3">
        <f t="shared" si="0"/>
        <v>446864.14041499997</v>
      </c>
    </row>
    <row r="28" spans="1:19" ht="15" x14ac:dyDescent="0.25">
      <c r="A28" s="2" t="s">
        <v>24</v>
      </c>
    </row>
    <row r="29" spans="1:19" x14ac:dyDescent="0.2">
      <c r="G29" t="s">
        <v>25</v>
      </c>
    </row>
    <row r="31" spans="1:19" ht="15" x14ac:dyDescent="0.25">
      <c r="A31" s="5" t="s">
        <v>26</v>
      </c>
      <c r="B31" s="4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68</v>
      </c>
      <c r="Q31" s="5" t="s">
        <v>42</v>
      </c>
      <c r="R31" s="2" t="s">
        <v>43</v>
      </c>
      <c r="S31" s="2" t="s">
        <v>84</v>
      </c>
    </row>
    <row r="32" spans="1:19" x14ac:dyDescent="0.2">
      <c r="A32" t="s">
        <v>83</v>
      </c>
      <c r="B32" s="14">
        <v>5.0000000000000001E-4</v>
      </c>
      <c r="C32" s="4">
        <f>S23/100</f>
        <v>8.9582368255014614E-5</v>
      </c>
      <c r="D32">
        <f>S22/100</f>
        <v>8.3494162872375715E-4</v>
      </c>
      <c r="E32">
        <v>1000000</v>
      </c>
      <c r="F32">
        <v>500000</v>
      </c>
      <c r="G32">
        <f t="shared" ref="G32:G37" si="4">D32/C32</f>
        <v>9.3203790543572627</v>
      </c>
      <c r="H32">
        <f t="shared" ref="H32:H37" si="5">LN(G32)</f>
        <v>2.2322032989388303</v>
      </c>
      <c r="I32">
        <f t="shared" ref="I32:I37" si="6">E32/F32</f>
        <v>2</v>
      </c>
      <c r="J32">
        <f t="shared" ref="J32:J37" si="7">LN(I32)</f>
        <v>0.69314718055994529</v>
      </c>
      <c r="K32" s="4">
        <f t="shared" ref="K32:K37" si="8">H32/J32</f>
        <v>3.220388629635035</v>
      </c>
      <c r="L32" s="4">
        <f t="shared" ref="L32:L37" si="9">F32*POWER(D32,1/K32)</f>
        <v>55344.944401093657</v>
      </c>
      <c r="M32" s="20">
        <f t="shared" ref="M32:M37" si="10">POWER(B32,1/K32)</f>
        <v>9.4397201578074894E-2</v>
      </c>
      <c r="N32" s="8">
        <f t="shared" ref="N32:N37" si="11">L32/M32</f>
        <v>586298.57110031438</v>
      </c>
      <c r="O32" s="5">
        <v>4599454</v>
      </c>
      <c r="P32" s="8">
        <f>O32*(K32/(1-K32))*POWER(L32,K32)*(-1)*POWER(N32,1-K32)</f>
        <v>1955574698.8112569</v>
      </c>
      <c r="Q32" s="9">
        <f t="shared" ref="Q32:Q37" si="12">B32*O32</f>
        <v>2299.7269999999999</v>
      </c>
      <c r="R32" s="8">
        <f t="shared" ref="R32:R37" si="13">P32/Q32</f>
        <v>850350.80199139158</v>
      </c>
      <c r="S32" s="4">
        <f t="shared" ref="S32:S37" si="14">P32*3.5326*1.23</f>
        <v>8497163712.6553946</v>
      </c>
    </row>
    <row r="33" spans="1:19" x14ac:dyDescent="0.2">
      <c r="A33" t="s">
        <v>75</v>
      </c>
      <c r="B33" s="14">
        <v>1E-3</v>
      </c>
      <c r="C33" s="4">
        <f>S22/100</f>
        <v>8.3494162872375715E-4</v>
      </c>
      <c r="D33">
        <f>S21/100</f>
        <v>2.1513422710608692E-3</v>
      </c>
      <c r="E33">
        <v>500000</v>
      </c>
      <c r="F33">
        <v>350000</v>
      </c>
      <c r="G33">
        <f t="shared" si="4"/>
        <v>2.5766379313836403</v>
      </c>
      <c r="H33">
        <f t="shared" si="5"/>
        <v>0.94648542175401884</v>
      </c>
      <c r="I33">
        <f t="shared" si="6"/>
        <v>1.4285714285714286</v>
      </c>
      <c r="J33">
        <f t="shared" si="7"/>
        <v>0.35667494393873239</v>
      </c>
      <c r="K33" s="4">
        <f t="shared" si="8"/>
        <v>2.6536358604337531</v>
      </c>
      <c r="L33" s="4">
        <f t="shared" si="9"/>
        <v>34587.758192506182</v>
      </c>
      <c r="M33" s="20">
        <f t="shared" si="10"/>
        <v>7.404157245903055E-2</v>
      </c>
      <c r="N33" s="8">
        <f t="shared" si="11"/>
        <v>467139.70332875679</v>
      </c>
      <c r="O33" s="5">
        <v>4599454</v>
      </c>
      <c r="P33" s="8">
        <f>O33*(K33/(1-K33))*POWER(L33,K33)*(POWER(N32,1-K33)-POWER(N33,1-K33))+P32</f>
        <v>3035445334.67062</v>
      </c>
      <c r="Q33" s="9">
        <f t="shared" si="12"/>
        <v>4599.4539999999997</v>
      </c>
      <c r="R33" s="8">
        <f t="shared" si="13"/>
        <v>659957.75469667057</v>
      </c>
      <c r="S33" s="4">
        <f t="shared" si="14"/>
        <v>13189307452.78664</v>
      </c>
    </row>
    <row r="34" spans="1:19" x14ac:dyDescent="0.2">
      <c r="A34" t="s">
        <v>76</v>
      </c>
      <c r="B34" s="14">
        <v>2.5000000000000001E-3</v>
      </c>
      <c r="C34">
        <f>S21/100</f>
        <v>2.1513422710608692E-3</v>
      </c>
      <c r="D34">
        <f>S20/100</f>
        <v>7.1559462279653183E-3</v>
      </c>
      <c r="E34">
        <v>350000</v>
      </c>
      <c r="F34">
        <v>200000</v>
      </c>
      <c r="G34">
        <f t="shared" si="4"/>
        <v>3.3262704518126633</v>
      </c>
      <c r="H34">
        <f t="shared" si="5"/>
        <v>1.2018516919004536</v>
      </c>
      <c r="I34">
        <f t="shared" si="6"/>
        <v>1.75</v>
      </c>
      <c r="J34">
        <f t="shared" si="7"/>
        <v>0.55961578793542266</v>
      </c>
      <c r="K34" s="4">
        <f t="shared" si="8"/>
        <v>2.1476372143366733</v>
      </c>
      <c r="L34" s="4">
        <f t="shared" si="9"/>
        <v>20049.471733101978</v>
      </c>
      <c r="M34" s="20">
        <f t="shared" si="10"/>
        <v>6.1433892807099828E-2</v>
      </c>
      <c r="N34" s="8">
        <f t="shared" si="11"/>
        <v>326358.47765754623</v>
      </c>
      <c r="O34" s="5">
        <v>4599454</v>
      </c>
      <c r="P34" s="8">
        <f>O34*(K34/(1-K34))*POWER(L34,K34)*(POWER(N33,1-K34)-POWER(N34,1-K34))+P33</f>
        <v>5404847645.0599136</v>
      </c>
      <c r="Q34" s="9">
        <f t="shared" si="12"/>
        <v>11498.635</v>
      </c>
      <c r="R34" s="8">
        <f t="shared" si="13"/>
        <v>470042.54375062027</v>
      </c>
      <c r="S34" s="4">
        <f t="shared" si="14"/>
        <v>23484592692.854542</v>
      </c>
    </row>
    <row r="35" spans="1:19" x14ac:dyDescent="0.2">
      <c r="A35" t="s">
        <v>76</v>
      </c>
      <c r="B35" s="14">
        <v>5.0000000000000001E-3</v>
      </c>
      <c r="C35">
        <v>1.9230907156599056E-3</v>
      </c>
      <c r="D35">
        <v>6.3967198236548114E-3</v>
      </c>
      <c r="E35">
        <v>350000</v>
      </c>
      <c r="F35">
        <v>200000</v>
      </c>
      <c r="G35">
        <f t="shared" si="4"/>
        <v>3.3262704518126629</v>
      </c>
      <c r="H35">
        <f t="shared" si="5"/>
        <v>1.2018516919004536</v>
      </c>
      <c r="I35">
        <f t="shared" si="6"/>
        <v>1.75</v>
      </c>
      <c r="J35">
        <f t="shared" si="7"/>
        <v>0.55961578793542266</v>
      </c>
      <c r="K35" s="4">
        <f t="shared" si="8"/>
        <v>2.1476372143366733</v>
      </c>
      <c r="L35" s="4">
        <f t="shared" si="9"/>
        <v>19029.278234612211</v>
      </c>
      <c r="M35" s="20">
        <f t="shared" si="10"/>
        <v>8.4835188176319659E-2</v>
      </c>
      <c r="N35" s="8">
        <f t="shared" si="11"/>
        <v>224308.78794141603</v>
      </c>
      <c r="O35" s="5">
        <v>4599454</v>
      </c>
      <c r="P35" s="8">
        <f>O35*(K35/(1-K35))*POWER(L35,K35)*(POWER(N34,1-K35)-POWER(N35,1-K35))+P34</f>
        <v>8780701026.6941853</v>
      </c>
      <c r="Q35" s="9">
        <f t="shared" si="12"/>
        <v>22997.27</v>
      </c>
      <c r="R35" s="8">
        <f t="shared" si="13"/>
        <v>381814.92962835089</v>
      </c>
      <c r="S35" s="4">
        <f t="shared" si="14"/>
        <v>38153006469.686852</v>
      </c>
    </row>
    <row r="36" spans="1:19" x14ac:dyDescent="0.2">
      <c r="A36" t="s">
        <v>77</v>
      </c>
      <c r="B36" s="14">
        <v>0.01</v>
      </c>
      <c r="C36">
        <f>S19/100</f>
        <v>9.1597755633603464E-3</v>
      </c>
      <c r="D36">
        <f>S18/100</f>
        <v>1.2554856018127369E-2</v>
      </c>
      <c r="E36">
        <v>180000</v>
      </c>
      <c r="F36">
        <v>160000</v>
      </c>
      <c r="G36">
        <f t="shared" si="4"/>
        <v>1.3706510526685336</v>
      </c>
      <c r="H36">
        <f t="shared" si="5"/>
        <v>0.31528584788426733</v>
      </c>
      <c r="I36">
        <f t="shared" si="6"/>
        <v>1.125</v>
      </c>
      <c r="J36">
        <f t="shared" si="7"/>
        <v>0.11778303565638346</v>
      </c>
      <c r="K36" s="4">
        <f t="shared" si="8"/>
        <v>2.676835811942158</v>
      </c>
      <c r="L36" s="4">
        <f t="shared" si="9"/>
        <v>31180.481911230916</v>
      </c>
      <c r="M36" s="20">
        <f t="shared" si="10"/>
        <v>0.17899842384695153</v>
      </c>
      <c r="N36" s="8">
        <f t="shared" si="11"/>
        <v>174194.1702117504</v>
      </c>
      <c r="O36" s="5">
        <v>4599454</v>
      </c>
      <c r="P36" s="8">
        <f>O36*(K36/(1-K36))*POWER(L36,K36)*(POWER(N35,1-K36)-POWER(N36,1-K36))+P35</f>
        <v>13200566557.113583</v>
      </c>
      <c r="Q36" s="9">
        <f t="shared" si="12"/>
        <v>45994.54</v>
      </c>
      <c r="R36" s="8">
        <f t="shared" si="13"/>
        <v>287002.9041950106</v>
      </c>
      <c r="S36" s="4">
        <f t="shared" si="14"/>
        <v>57357755346.181107</v>
      </c>
    </row>
    <row r="37" spans="1:19" x14ac:dyDescent="0.2">
      <c r="A37" t="s">
        <v>73</v>
      </c>
      <c r="B37" s="14">
        <v>0.02</v>
      </c>
      <c r="C37">
        <f>S17/100</f>
        <v>1.6876327606711577E-2</v>
      </c>
      <c r="D37">
        <f>S16/100</f>
        <v>2.1471867684946952E-2</v>
      </c>
      <c r="E37">
        <v>140000</v>
      </c>
      <c r="F37">
        <v>120000</v>
      </c>
      <c r="G37">
        <f t="shared" si="4"/>
        <v>1.2723068777361117</v>
      </c>
      <c r="H37">
        <f t="shared" si="5"/>
        <v>0.24083169190221063</v>
      </c>
      <c r="I37">
        <f t="shared" si="6"/>
        <v>1.1666666666666667</v>
      </c>
      <c r="J37">
        <f t="shared" si="7"/>
        <v>0.15415067982725836</v>
      </c>
      <c r="K37" s="4">
        <f t="shared" si="8"/>
        <v>1.5623135244819371</v>
      </c>
      <c r="L37" s="4">
        <f t="shared" si="9"/>
        <v>10267.164130332749</v>
      </c>
      <c r="M37" s="20">
        <f t="shared" si="10"/>
        <v>8.175784087894962E-2</v>
      </c>
      <c r="N37" s="8">
        <f t="shared" si="11"/>
        <v>125580.17701977082</v>
      </c>
      <c r="O37" s="5">
        <v>4599454</v>
      </c>
      <c r="P37" s="8">
        <f>O37*(K37/(1-K37))*POWER(L37,K37)*(POWER(N36,1-K37)-POWER(N37,1-K37))+P36</f>
        <v>18594805792.98344</v>
      </c>
      <c r="Q37" s="9">
        <f t="shared" si="12"/>
        <v>91989.08</v>
      </c>
      <c r="R37" s="8">
        <f t="shared" si="13"/>
        <v>202141.44758251132</v>
      </c>
      <c r="S37" s="4">
        <f t="shared" si="14"/>
        <v>80796253461.480759</v>
      </c>
    </row>
    <row r="39" spans="1:19" x14ac:dyDescent="0.2">
      <c r="P39" s="8"/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 t="s">
        <v>14</v>
      </c>
      <c r="B50">
        <v>0</v>
      </c>
      <c r="C50">
        <v>2647.9851999999996</v>
      </c>
      <c r="D50">
        <v>0</v>
      </c>
      <c r="E50">
        <v>1656.1846</v>
      </c>
      <c r="F50">
        <v>0</v>
      </c>
      <c r="G50">
        <v>629.74883999999997</v>
      </c>
      <c r="H50">
        <v>0</v>
      </c>
      <c r="I50">
        <v>253.67901999999998</v>
      </c>
      <c r="J50">
        <v>0</v>
      </c>
      <c r="K50">
        <f>74.72289*1.4</f>
        <v>104.61204600000001</v>
      </c>
      <c r="L50">
        <v>1</v>
      </c>
      <c r="M50">
        <v>39.390582000000002</v>
      </c>
      <c r="N50">
        <v>0</v>
      </c>
      <c r="O50">
        <v>11.911664799999999</v>
      </c>
      <c r="P50" s="3">
        <f>(B50*C50)+(D50*E50)+(F50*G50)+(H50*I50)+(J50*K50)+(L50*M50)+(N50*O50)</f>
        <v>39.390582000000002</v>
      </c>
      <c r="Q50" s="3"/>
    </row>
    <row r="51" spans="1:19" x14ac:dyDescent="0.2">
      <c r="A51">
        <v>20000</v>
      </c>
      <c r="B51">
        <v>2</v>
      </c>
      <c r="C51">
        <v>2647.9851999999996</v>
      </c>
      <c r="D51">
        <v>1</v>
      </c>
      <c r="E51">
        <v>1656.1846</v>
      </c>
      <c r="F51">
        <v>9</v>
      </c>
      <c r="G51">
        <v>629.74883999999997</v>
      </c>
      <c r="H51">
        <v>29</v>
      </c>
      <c r="I51">
        <v>253.67901999999998</v>
      </c>
      <c r="J51">
        <v>78</v>
      </c>
      <c r="K51">
        <f t="shared" ref="K51:K68" si="15">74.72289*1.4</f>
        <v>104.61204600000001</v>
      </c>
      <c r="L51">
        <v>227</v>
      </c>
      <c r="M51">
        <v>39.390582000000002</v>
      </c>
      <c r="N51">
        <v>344</v>
      </c>
      <c r="O51">
        <v>11.911664799999999</v>
      </c>
      <c r="P51" s="3">
        <f t="shared" ref="P51:P68" si="16">(B51*C51)+(D51*E51)+(F51*G51)+(H51*I51)+(J51*K51)+(L51*M51)+(N51*O51)</f>
        <v>41175.600533200006</v>
      </c>
      <c r="Q51" s="3"/>
    </row>
    <row r="52" spans="1:19" x14ac:dyDescent="0.2">
      <c r="A52">
        <v>30000</v>
      </c>
      <c r="B52">
        <v>3</v>
      </c>
      <c r="C52">
        <v>2647.9851999999996</v>
      </c>
      <c r="D52">
        <v>3</v>
      </c>
      <c r="E52">
        <v>1656.1846</v>
      </c>
      <c r="F52">
        <v>3</v>
      </c>
      <c r="G52">
        <v>629.74883999999997</v>
      </c>
      <c r="H52">
        <v>42</v>
      </c>
      <c r="I52">
        <v>253.67901999999998</v>
      </c>
      <c r="J52">
        <v>97</v>
      </c>
      <c r="K52">
        <f t="shared" si="15"/>
        <v>104.61204600000001</v>
      </c>
      <c r="L52">
        <v>263</v>
      </c>
      <c r="M52">
        <v>39.390582000000002</v>
      </c>
      <c r="N52">
        <v>371</v>
      </c>
      <c r="O52">
        <v>11.911664799999999</v>
      </c>
      <c r="P52" s="3">
        <f t="shared" si="16"/>
        <v>50382.593928799994</v>
      </c>
      <c r="Q52" s="3">
        <f>Q53+P52</f>
        <v>296682.02827760001</v>
      </c>
      <c r="R52">
        <v>4710954</v>
      </c>
      <c r="S52">
        <f>Q52/R52*100</f>
        <v>6.2977059058016707</v>
      </c>
    </row>
    <row r="53" spans="1:19" x14ac:dyDescent="0.2">
      <c r="A53">
        <v>40000</v>
      </c>
      <c r="B53">
        <v>2</v>
      </c>
      <c r="C53">
        <v>2647.9851999999996</v>
      </c>
      <c r="D53">
        <v>3</v>
      </c>
      <c r="E53">
        <v>1656.1846</v>
      </c>
      <c r="F53">
        <v>14</v>
      </c>
      <c r="G53">
        <v>629.74883999999997</v>
      </c>
      <c r="H53">
        <v>26</v>
      </c>
      <c r="I53">
        <v>253.67901999999998</v>
      </c>
      <c r="J53">
        <v>114</v>
      </c>
      <c r="K53">
        <f t="shared" si="15"/>
        <v>104.61204600000001</v>
      </c>
      <c r="L53">
        <v>221</v>
      </c>
      <c r="M53">
        <v>39.390582000000002</v>
      </c>
      <c r="N53">
        <v>296</v>
      </c>
      <c r="O53">
        <v>11.911664799999999</v>
      </c>
      <c r="P53" s="3">
        <f t="shared" si="16"/>
        <v>49833.607126799994</v>
      </c>
      <c r="Q53" s="3">
        <f t="shared" ref="Q53:Q62" si="17">Q54+P53</f>
        <v>246299.43434880002</v>
      </c>
      <c r="R53">
        <v>4710954</v>
      </c>
      <c r="S53">
        <f>Q53/R53*100</f>
        <v>5.228228387473111</v>
      </c>
    </row>
    <row r="54" spans="1:19" x14ac:dyDescent="0.2">
      <c r="A54">
        <v>50000</v>
      </c>
      <c r="B54">
        <v>1</v>
      </c>
      <c r="C54">
        <v>2647.9851999999996</v>
      </c>
      <c r="D54">
        <v>3</v>
      </c>
      <c r="E54">
        <v>1656.1846</v>
      </c>
      <c r="F54">
        <v>10</v>
      </c>
      <c r="G54">
        <v>629.74883999999997</v>
      </c>
      <c r="H54">
        <v>35</v>
      </c>
      <c r="I54">
        <v>253.67901999999998</v>
      </c>
      <c r="J54">
        <v>78</v>
      </c>
      <c r="K54">
        <f t="shared" si="15"/>
        <v>104.61204600000001</v>
      </c>
      <c r="L54">
        <v>155</v>
      </c>
      <c r="M54">
        <v>39.390582000000002</v>
      </c>
      <c r="N54">
        <v>223</v>
      </c>
      <c r="O54">
        <v>11.911664799999999</v>
      </c>
      <c r="P54" s="3">
        <f t="shared" si="16"/>
        <v>39714.374148399998</v>
      </c>
      <c r="Q54" s="3">
        <f t="shared" si="17"/>
        <v>196465.82722200002</v>
      </c>
      <c r="R54">
        <v>4710954</v>
      </c>
      <c r="S54">
        <f>Q54/R54*100</f>
        <v>4.1704042795153597</v>
      </c>
    </row>
    <row r="55" spans="1:19" x14ac:dyDescent="0.2">
      <c r="A55">
        <v>60000</v>
      </c>
      <c r="B55">
        <v>2</v>
      </c>
      <c r="C55">
        <v>2647.9851999999996</v>
      </c>
      <c r="D55">
        <v>4</v>
      </c>
      <c r="E55">
        <v>1656.1846</v>
      </c>
      <c r="F55">
        <v>5</v>
      </c>
      <c r="G55">
        <v>629.74883999999997</v>
      </c>
      <c r="H55">
        <v>30</v>
      </c>
      <c r="I55">
        <v>253.67901999999998</v>
      </c>
      <c r="J55">
        <v>47</v>
      </c>
      <c r="K55">
        <f t="shared" si="15"/>
        <v>104.61204600000001</v>
      </c>
      <c r="L55">
        <v>114</v>
      </c>
      <c r="M55">
        <v>39.390582000000002</v>
      </c>
      <c r="N55">
        <v>126</v>
      </c>
      <c r="O55">
        <v>11.911664799999999</v>
      </c>
      <c r="P55" s="3">
        <f t="shared" si="16"/>
        <v>33587.985874799997</v>
      </c>
      <c r="Q55" s="3">
        <f t="shared" si="17"/>
        <v>156751.45307360002</v>
      </c>
      <c r="R55">
        <v>4710954</v>
      </c>
      <c r="S55">
        <f>Q55/R55*100</f>
        <v>3.3273823746442868</v>
      </c>
    </row>
    <row r="56" spans="1:19" x14ac:dyDescent="0.2">
      <c r="A56">
        <v>70000</v>
      </c>
      <c r="B56">
        <v>0</v>
      </c>
      <c r="C56">
        <v>2647.9851999999996</v>
      </c>
      <c r="D56">
        <v>2</v>
      </c>
      <c r="E56">
        <v>1656.1846</v>
      </c>
      <c r="F56">
        <v>8</v>
      </c>
      <c r="G56">
        <v>629.74883999999997</v>
      </c>
      <c r="H56">
        <v>15</v>
      </c>
      <c r="I56">
        <v>253.67901999999998</v>
      </c>
      <c r="J56">
        <v>41</v>
      </c>
      <c r="K56">
        <f t="shared" si="15"/>
        <v>104.61204600000001</v>
      </c>
      <c r="L56">
        <v>66</v>
      </c>
      <c r="M56">
        <v>39.390582000000002</v>
      </c>
      <c r="N56">
        <v>101</v>
      </c>
      <c r="O56">
        <v>11.911664799999999</v>
      </c>
      <c r="P56" s="3">
        <f t="shared" si="16"/>
        <v>20247.4956628</v>
      </c>
      <c r="Q56" s="3">
        <f t="shared" si="17"/>
        <v>123163.4671988</v>
      </c>
      <c r="R56">
        <v>4710954</v>
      </c>
      <c r="S56">
        <f>Q56/R56*100</f>
        <v>2.6144060671957314</v>
      </c>
    </row>
    <row r="57" spans="1:19" x14ac:dyDescent="0.2">
      <c r="A57">
        <v>80000</v>
      </c>
      <c r="B57">
        <v>0</v>
      </c>
      <c r="C57">
        <v>2647.9851999999996</v>
      </c>
      <c r="D57">
        <v>1</v>
      </c>
      <c r="E57">
        <v>1656.1846</v>
      </c>
      <c r="F57">
        <v>6</v>
      </c>
      <c r="G57">
        <v>629.74883999999997</v>
      </c>
      <c r="H57">
        <v>14</v>
      </c>
      <c r="I57">
        <v>253.67901999999998</v>
      </c>
      <c r="J57">
        <v>34</v>
      </c>
      <c r="K57">
        <f t="shared" si="15"/>
        <v>104.61204600000001</v>
      </c>
      <c r="L57">
        <v>59</v>
      </c>
      <c r="M57">
        <v>39.390582000000002</v>
      </c>
      <c r="N57">
        <v>81</v>
      </c>
      <c r="O57">
        <v>11.911664799999999</v>
      </c>
      <c r="P57" s="3">
        <f t="shared" si="16"/>
        <v>15831.882670799998</v>
      </c>
      <c r="Q57" s="3">
        <f t="shared" si="17"/>
        <v>102915.971536</v>
      </c>
      <c r="R57">
        <v>4710954</v>
      </c>
      <c r="S57">
        <f t="shared" ref="S57:S63" si="18">Q57/R57*100</f>
        <v>2.1846099863424691</v>
      </c>
    </row>
    <row r="58" spans="1:19" x14ac:dyDescent="0.2">
      <c r="A58">
        <v>90000</v>
      </c>
      <c r="B58">
        <v>1</v>
      </c>
      <c r="C58">
        <v>2647.9851999999996</v>
      </c>
      <c r="D58">
        <v>1</v>
      </c>
      <c r="E58">
        <v>1656.1846</v>
      </c>
      <c r="F58">
        <v>5</v>
      </c>
      <c r="G58">
        <v>629.74883999999997</v>
      </c>
      <c r="H58">
        <v>22</v>
      </c>
      <c r="I58">
        <v>253.67901999999998</v>
      </c>
      <c r="J58">
        <v>23</v>
      </c>
      <c r="K58">
        <f t="shared" si="15"/>
        <v>104.61204600000001</v>
      </c>
      <c r="L58">
        <v>36</v>
      </c>
      <c r="M58">
        <v>39.390582000000002</v>
      </c>
      <c r="N58">
        <v>67</v>
      </c>
      <c r="O58">
        <v>11.911664799999999</v>
      </c>
      <c r="P58" s="3">
        <f t="shared" si="16"/>
        <v>17656.071991600002</v>
      </c>
      <c r="Q58" s="3">
        <f t="shared" si="17"/>
        <v>87084.088865199999</v>
      </c>
      <c r="R58">
        <v>4710954</v>
      </c>
      <c r="S58">
        <f t="shared" si="18"/>
        <v>1.8485446655857816</v>
      </c>
    </row>
    <row r="59" spans="1:19" x14ac:dyDescent="0.2">
      <c r="A59">
        <v>100000</v>
      </c>
      <c r="B59">
        <v>0</v>
      </c>
      <c r="C59">
        <v>2647.9851999999996</v>
      </c>
      <c r="D59">
        <v>2</v>
      </c>
      <c r="E59">
        <v>1656.1846</v>
      </c>
      <c r="F59">
        <v>4</v>
      </c>
      <c r="G59">
        <v>629.74883999999997</v>
      </c>
      <c r="H59">
        <v>17</v>
      </c>
      <c r="I59">
        <v>253.67901999999998</v>
      </c>
      <c r="J59">
        <v>33</v>
      </c>
      <c r="K59">
        <f t="shared" si="15"/>
        <v>104.61204600000001</v>
      </c>
      <c r="L59">
        <v>77</v>
      </c>
      <c r="M59">
        <v>39.390582000000002</v>
      </c>
      <c r="N59">
        <v>99</v>
      </c>
      <c r="O59">
        <v>11.911664799999999</v>
      </c>
      <c r="P59" s="3">
        <f t="shared" si="16"/>
        <v>17808.435047200001</v>
      </c>
      <c r="Q59" s="3">
        <f t="shared" si="17"/>
        <v>69428.016873599991</v>
      </c>
      <c r="R59">
        <v>4710954</v>
      </c>
      <c r="S59">
        <f t="shared" si="18"/>
        <v>1.4737570537432543</v>
      </c>
    </row>
    <row r="60" spans="1:19" x14ac:dyDescent="0.2">
      <c r="A60">
        <v>120000</v>
      </c>
      <c r="B60">
        <v>0</v>
      </c>
      <c r="C60">
        <v>2647.9851999999996</v>
      </c>
      <c r="D60">
        <v>1</v>
      </c>
      <c r="E60">
        <v>1656.1846</v>
      </c>
      <c r="F60">
        <v>4</v>
      </c>
      <c r="G60">
        <v>629.74883999999997</v>
      </c>
      <c r="H60">
        <v>13</v>
      </c>
      <c r="I60">
        <v>253.67901999999998</v>
      </c>
      <c r="J60">
        <v>25</v>
      </c>
      <c r="K60">
        <f t="shared" si="15"/>
        <v>104.61204600000001</v>
      </c>
      <c r="L60">
        <v>48</v>
      </c>
      <c r="M60">
        <v>39.390582000000002</v>
      </c>
      <c r="N60">
        <v>62</v>
      </c>
      <c r="O60">
        <v>11.911664799999999</v>
      </c>
      <c r="P60" s="3">
        <f t="shared" si="16"/>
        <v>12717.579523599998</v>
      </c>
      <c r="Q60" s="3">
        <f t="shared" si="17"/>
        <v>51619.581826399997</v>
      </c>
      <c r="R60">
        <v>4710954</v>
      </c>
      <c r="S60">
        <f t="shared" si="18"/>
        <v>1.0957352125790232</v>
      </c>
    </row>
    <row r="61" spans="1:19" x14ac:dyDescent="0.2">
      <c r="A61">
        <v>140000</v>
      </c>
      <c r="B61">
        <v>0</v>
      </c>
      <c r="C61">
        <v>2647.9851999999996</v>
      </c>
      <c r="D61">
        <v>1</v>
      </c>
      <c r="E61">
        <v>1656.1846</v>
      </c>
      <c r="F61">
        <v>2</v>
      </c>
      <c r="G61">
        <v>629.74883999999997</v>
      </c>
      <c r="H61">
        <v>12</v>
      </c>
      <c r="I61">
        <v>253.67901999999998</v>
      </c>
      <c r="J61">
        <v>22</v>
      </c>
      <c r="K61">
        <f t="shared" si="15"/>
        <v>104.61204600000001</v>
      </c>
      <c r="L61">
        <v>28</v>
      </c>
      <c r="M61">
        <v>39.390582000000002</v>
      </c>
      <c r="N61">
        <v>48</v>
      </c>
      <c r="O61">
        <v>11.911664799999999</v>
      </c>
      <c r="P61" s="3">
        <f t="shared" si="16"/>
        <v>9935.9917384</v>
      </c>
      <c r="Q61" s="3">
        <f t="shared" si="17"/>
        <v>38902.0023028</v>
      </c>
      <c r="R61">
        <v>4710954</v>
      </c>
      <c r="S61">
        <f t="shared" si="18"/>
        <v>0.8257775877837058</v>
      </c>
    </row>
    <row r="62" spans="1:19" x14ac:dyDescent="0.2">
      <c r="A62">
        <v>160000</v>
      </c>
      <c r="B62">
        <v>0</v>
      </c>
      <c r="C62">
        <v>2647.9851999999996</v>
      </c>
      <c r="D62">
        <v>0</v>
      </c>
      <c r="E62">
        <v>1656.1846</v>
      </c>
      <c r="F62">
        <v>2</v>
      </c>
      <c r="G62">
        <v>629.74883999999997</v>
      </c>
      <c r="H62">
        <v>8</v>
      </c>
      <c r="I62">
        <v>253.67901999999998</v>
      </c>
      <c r="J62">
        <v>19</v>
      </c>
      <c r="K62">
        <f t="shared" si="15"/>
        <v>104.61204600000001</v>
      </c>
      <c r="L62">
        <v>33</v>
      </c>
      <c r="M62">
        <v>39.390582000000002</v>
      </c>
      <c r="N62">
        <v>39</v>
      </c>
      <c r="O62">
        <v>11.911664799999999</v>
      </c>
      <c r="P62" s="3">
        <f t="shared" si="16"/>
        <v>7041.0028471999995</v>
      </c>
      <c r="Q62" s="3">
        <f t="shared" si="17"/>
        <v>28966.0105644</v>
      </c>
      <c r="R62">
        <v>4710954</v>
      </c>
      <c r="S62">
        <f t="shared" si="18"/>
        <v>0.61486506903697213</v>
      </c>
    </row>
    <row r="63" spans="1:19" x14ac:dyDescent="0.2">
      <c r="A63">
        <v>180000</v>
      </c>
      <c r="B63">
        <v>0</v>
      </c>
      <c r="C63">
        <v>2647.9851999999996</v>
      </c>
      <c r="D63">
        <v>1</v>
      </c>
      <c r="E63">
        <v>1656.1846</v>
      </c>
      <c r="F63">
        <v>2</v>
      </c>
      <c r="G63">
        <v>629.74883999999997</v>
      </c>
      <c r="H63">
        <v>9</v>
      </c>
      <c r="I63">
        <v>253.67901999999998</v>
      </c>
      <c r="J63">
        <v>6</v>
      </c>
      <c r="K63">
        <f t="shared" si="15"/>
        <v>104.61204600000001</v>
      </c>
      <c r="L63">
        <v>14</v>
      </c>
      <c r="M63">
        <v>39.390582000000002</v>
      </c>
      <c r="N63">
        <v>24</v>
      </c>
      <c r="O63">
        <v>11.911664799999999</v>
      </c>
      <c r="P63" s="3">
        <f t="shared" si="16"/>
        <v>6663.8138392000001</v>
      </c>
      <c r="Q63" s="3">
        <f>P64+P63</f>
        <v>21925.007717200002</v>
      </c>
      <c r="R63">
        <v>4710954</v>
      </c>
      <c r="S63">
        <f t="shared" si="18"/>
        <v>0.46540483556409168</v>
      </c>
    </row>
    <row r="64" spans="1:19" x14ac:dyDescent="0.2">
      <c r="A64">
        <v>200000</v>
      </c>
      <c r="B64">
        <v>0</v>
      </c>
      <c r="C64">
        <v>2647.9851999999996</v>
      </c>
      <c r="D64">
        <v>3</v>
      </c>
      <c r="E64">
        <v>1656.1846</v>
      </c>
      <c r="F64">
        <v>2</v>
      </c>
      <c r="G64">
        <v>629.74883999999997</v>
      </c>
      <c r="H64">
        <v>12</v>
      </c>
      <c r="I64">
        <v>253.67901999999998</v>
      </c>
      <c r="J64">
        <v>28</v>
      </c>
      <c r="K64">
        <f t="shared" si="15"/>
        <v>104.61204600000001</v>
      </c>
      <c r="L64">
        <v>55</v>
      </c>
      <c r="M64">
        <v>39.390582000000002</v>
      </c>
      <c r="N64">
        <v>75</v>
      </c>
      <c r="O64">
        <v>11.911664799999999</v>
      </c>
      <c r="P64" s="3">
        <f t="shared" si="16"/>
        <v>15261.193878</v>
      </c>
      <c r="Q64" s="3">
        <f>P65+P64</f>
        <v>17946.5459348</v>
      </c>
      <c r="R64">
        <v>4710954</v>
      </c>
      <c r="S64">
        <f>Q64/R64*100</f>
        <v>0.38095353796279907</v>
      </c>
    </row>
    <row r="65" spans="1:19" x14ac:dyDescent="0.2">
      <c r="A65">
        <v>350000</v>
      </c>
      <c r="B65">
        <v>0</v>
      </c>
      <c r="C65">
        <v>2647.9851999999996</v>
      </c>
      <c r="D65">
        <v>0</v>
      </c>
      <c r="E65">
        <v>1656.1846</v>
      </c>
      <c r="F65">
        <v>2</v>
      </c>
      <c r="G65">
        <v>629.74883999999997</v>
      </c>
      <c r="H65">
        <v>2</v>
      </c>
      <c r="I65">
        <v>253.67902000000001</v>
      </c>
      <c r="J65">
        <v>3</v>
      </c>
      <c r="K65">
        <f t="shared" si="15"/>
        <v>104.61204600000001</v>
      </c>
      <c r="L65">
        <v>9</v>
      </c>
      <c r="M65">
        <v>39.390582000000002</v>
      </c>
      <c r="N65">
        <v>21</v>
      </c>
      <c r="O65">
        <v>11.911664799999999</v>
      </c>
      <c r="P65" s="3">
        <f t="shared" si="16"/>
        <v>2685.3520567999999</v>
      </c>
      <c r="Q65" s="3">
        <f>P66+P65</f>
        <v>4077.9428479999997</v>
      </c>
      <c r="R65">
        <v>4710954</v>
      </c>
      <c r="S65">
        <f>Q65/R65*100</f>
        <v>8.6562994416842093E-2</v>
      </c>
    </row>
    <row r="66" spans="1:19" x14ac:dyDescent="0.2">
      <c r="A66">
        <v>500000</v>
      </c>
      <c r="B66">
        <v>0</v>
      </c>
      <c r="C66">
        <v>2647.9851999999996</v>
      </c>
      <c r="D66">
        <v>0</v>
      </c>
      <c r="E66">
        <v>1656.1846</v>
      </c>
      <c r="F66">
        <v>0</v>
      </c>
      <c r="G66">
        <v>629.74883999999997</v>
      </c>
      <c r="H66">
        <v>3</v>
      </c>
      <c r="I66">
        <v>253.67902000000001</v>
      </c>
      <c r="J66">
        <v>2</v>
      </c>
      <c r="K66">
        <f t="shared" si="15"/>
        <v>104.61204600000001</v>
      </c>
      <c r="L66">
        <v>8</v>
      </c>
      <c r="M66">
        <v>39.390582000000002</v>
      </c>
      <c r="N66">
        <v>9</v>
      </c>
      <c r="O66">
        <v>11.911664799999999</v>
      </c>
      <c r="P66" s="3">
        <f t="shared" si="16"/>
        <v>1392.5907912</v>
      </c>
      <c r="Q66" s="3">
        <f>P67+P66</f>
        <v>3204.6896839999999</v>
      </c>
      <c r="R66">
        <v>4710954</v>
      </c>
      <c r="S66">
        <f>Q66/R66*100</f>
        <v>6.8026342095465167E-2</v>
      </c>
    </row>
    <row r="67" spans="1:19" x14ac:dyDescent="0.2">
      <c r="A67" t="s">
        <v>12</v>
      </c>
      <c r="B67">
        <v>0</v>
      </c>
      <c r="C67">
        <v>2647.9851999999996</v>
      </c>
      <c r="D67">
        <v>1</v>
      </c>
      <c r="E67">
        <v>1656.1846</v>
      </c>
      <c r="F67">
        <v>0</v>
      </c>
      <c r="G67">
        <v>629.74883999999997</v>
      </c>
      <c r="H67">
        <v>0</v>
      </c>
      <c r="I67">
        <v>253.67902000000001</v>
      </c>
      <c r="J67">
        <v>1</v>
      </c>
      <c r="K67">
        <f t="shared" si="15"/>
        <v>104.61204600000001</v>
      </c>
      <c r="L67">
        <v>1</v>
      </c>
      <c r="M67">
        <v>39.390582000000002</v>
      </c>
      <c r="N67">
        <v>1</v>
      </c>
      <c r="O67">
        <v>11.911664799999999</v>
      </c>
      <c r="P67" s="3">
        <f t="shared" si="16"/>
        <v>1812.0988927999999</v>
      </c>
      <c r="Q67" s="3">
        <v>271</v>
      </c>
      <c r="R67">
        <v>4710954</v>
      </c>
      <c r="S67">
        <f>Q67/R67*100</f>
        <v>5.7525503326926984E-3</v>
      </c>
    </row>
    <row r="68" spans="1:19" x14ac:dyDescent="0.2">
      <c r="A68" t="s">
        <v>3</v>
      </c>
      <c r="B68">
        <v>11</v>
      </c>
      <c r="C68">
        <v>2647.9851999999996</v>
      </c>
      <c r="D68">
        <v>27</v>
      </c>
      <c r="E68">
        <v>1656.1846</v>
      </c>
      <c r="F68">
        <v>78</v>
      </c>
      <c r="G68">
        <v>629.74883999999997</v>
      </c>
      <c r="H68">
        <v>289</v>
      </c>
      <c r="I68">
        <v>253.67902000000001</v>
      </c>
      <c r="J68">
        <v>651</v>
      </c>
      <c r="K68">
        <f t="shared" si="15"/>
        <v>104.61204600000001</v>
      </c>
      <c r="L68">
        <v>1415</v>
      </c>
      <c r="M68">
        <v>39.390582000000002</v>
      </c>
      <c r="N68">
        <v>1987</v>
      </c>
      <c r="O68">
        <v>11.911664799999999</v>
      </c>
      <c r="P68" s="3">
        <f t="shared" si="16"/>
        <v>343787.06113360001</v>
      </c>
      <c r="Q68" s="3"/>
      <c r="R68">
        <v>4710954</v>
      </c>
    </row>
    <row r="69" spans="1:19" ht="15" x14ac:dyDescent="0.25">
      <c r="A69" s="2" t="s">
        <v>24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83</v>
      </c>
      <c r="B73" s="14">
        <v>5.0000000000000001E-4</v>
      </c>
      <c r="C73" s="4">
        <f>S67/100</f>
        <v>5.7525503326926987E-5</v>
      </c>
      <c r="D73" s="5">
        <f>S66/100</f>
        <v>6.8026342095465163E-4</v>
      </c>
      <c r="E73" s="5">
        <v>1000000</v>
      </c>
      <c r="F73" s="5">
        <v>500000</v>
      </c>
      <c r="G73" s="5">
        <f t="shared" ref="G73:G78" si="19">D73/C73</f>
        <v>11.825423188191882</v>
      </c>
      <c r="H73" s="5">
        <f t="shared" ref="H73:H78" si="20">LN(G73)</f>
        <v>2.4702517213225734</v>
      </c>
      <c r="I73" s="5">
        <f t="shared" ref="I73:I78" si="21">E73/F73</f>
        <v>2</v>
      </c>
      <c r="J73" s="5">
        <f t="shared" ref="J73:J78" si="22">LN(I73)</f>
        <v>0.69314718055994529</v>
      </c>
      <c r="K73" s="4">
        <f t="shared" ref="K73:K78" si="23">H73/J73</f>
        <v>3.5638199080995023</v>
      </c>
      <c r="L73" s="4">
        <f t="shared" ref="L73:L78" si="24">F73*(D73^(1/K73))</f>
        <v>64599.059466461484</v>
      </c>
      <c r="M73" s="7">
        <f t="shared" ref="M73:M78" si="25">POWER(B73,1/K73)</f>
        <v>0.11850543516151055</v>
      </c>
      <c r="N73" s="8">
        <f t="shared" ref="N73:N78" si="26">L73/M73</f>
        <v>545114.73991399386</v>
      </c>
      <c r="O73">
        <f t="shared" ref="O73:O78" si="27">R54</f>
        <v>4710954</v>
      </c>
      <c r="P73" s="8">
        <f>O73*(K73/(1-K73))*POWER(L73,K73)*(-1)*POWER(N73,1-K73)</f>
        <v>1784822480.8081529</v>
      </c>
      <c r="Q73" s="9">
        <f t="shared" ref="Q73:Q78" si="28">B73*O73</f>
        <v>2355.4769999999999</v>
      </c>
      <c r="R73" s="4">
        <f t="shared" ref="R73:R78" si="29">P73/Q73</f>
        <v>757732.92662511801</v>
      </c>
      <c r="S73" s="3">
        <f t="shared" ref="S73:S78" si="30">3.5326*P73*1.23</f>
        <v>7755228591.7145433</v>
      </c>
    </row>
    <row r="74" spans="1:19" x14ac:dyDescent="0.2">
      <c r="A74" t="s">
        <v>76</v>
      </c>
      <c r="B74" s="14">
        <v>1E-3</v>
      </c>
      <c r="C74" s="5">
        <f>S65/100</f>
        <v>8.6562994416842089E-4</v>
      </c>
      <c r="D74" s="5">
        <f>S64/100</f>
        <v>3.8095353796279907E-3</v>
      </c>
      <c r="E74" s="5">
        <v>350000</v>
      </c>
      <c r="F74" s="5">
        <v>200000</v>
      </c>
      <c r="G74" s="5">
        <f t="shared" si="19"/>
        <v>4.4008821613578446</v>
      </c>
      <c r="H74" s="5">
        <f t="shared" si="20"/>
        <v>1.4818050120462292</v>
      </c>
      <c r="I74" s="5">
        <f t="shared" si="21"/>
        <v>1.75</v>
      </c>
      <c r="J74" s="5">
        <f t="shared" si="22"/>
        <v>0.55961578793542266</v>
      </c>
      <c r="K74" s="4">
        <f t="shared" si="23"/>
        <v>2.6478970822338974</v>
      </c>
      <c r="L74" s="4">
        <f t="shared" si="24"/>
        <v>24402.06141228494</v>
      </c>
      <c r="M74" s="7">
        <f t="shared" si="25"/>
        <v>7.3625024439981132E-2</v>
      </c>
      <c r="N74" s="8">
        <f t="shared" si="26"/>
        <v>331437.05686885602</v>
      </c>
      <c r="O74">
        <f t="shared" si="27"/>
        <v>4710954</v>
      </c>
      <c r="P74" s="8">
        <f>O74*(K74/(1-K74))*POWER(L74,K74)*(POWER(N73,1-K74)-POWER(N74,1-K74))+P73</f>
        <v>3188632856.6080842</v>
      </c>
      <c r="Q74" s="9">
        <f t="shared" si="28"/>
        <v>4710.9539999999997</v>
      </c>
      <c r="R74" s="4">
        <f t="shared" si="29"/>
        <v>676855.01845445414</v>
      </c>
      <c r="S74" s="3">
        <f t="shared" si="30"/>
        <v>13854922247.982073</v>
      </c>
    </row>
    <row r="75" spans="1:19" x14ac:dyDescent="0.2">
      <c r="A75" t="s">
        <v>76</v>
      </c>
      <c r="B75" s="14">
        <v>2.5000000000000001E-3</v>
      </c>
      <c r="C75" s="5">
        <f>S65/100</f>
        <v>8.6562994416842089E-4</v>
      </c>
      <c r="D75" s="5">
        <f>S64/100</f>
        <v>3.8095353796279907E-3</v>
      </c>
      <c r="E75" s="5">
        <v>350000</v>
      </c>
      <c r="F75" s="5">
        <v>200000</v>
      </c>
      <c r="G75" s="5">
        <f t="shared" si="19"/>
        <v>4.4008821613578446</v>
      </c>
      <c r="H75" s="5">
        <f t="shared" si="20"/>
        <v>1.4818050120462292</v>
      </c>
      <c r="I75" s="5">
        <f t="shared" si="21"/>
        <v>1.75</v>
      </c>
      <c r="J75" s="5">
        <f t="shared" si="22"/>
        <v>0.55961578793542266</v>
      </c>
      <c r="K75" s="4">
        <f t="shared" si="23"/>
        <v>2.6478970822338974</v>
      </c>
      <c r="L75" s="4">
        <f t="shared" si="24"/>
        <v>24402.06141228494</v>
      </c>
      <c r="M75" s="7">
        <f t="shared" si="25"/>
        <v>0.10406645303016962</v>
      </c>
      <c r="N75" s="8">
        <f t="shared" si="26"/>
        <v>234485.37642779664</v>
      </c>
      <c r="O75">
        <f t="shared" si="27"/>
        <v>4710954</v>
      </c>
      <c r="P75" s="8">
        <f>O75*(K75/(1-K75))*POWER(L75,K75)*(POWER(N74,1-K75)-POWER(N75,1-K75))+P74</f>
        <v>5117219033.6129217</v>
      </c>
      <c r="Q75" s="9">
        <f t="shared" si="28"/>
        <v>11777.385</v>
      </c>
      <c r="R75" s="4">
        <f t="shared" si="29"/>
        <v>434495.35135455977</v>
      </c>
      <c r="S75" s="3">
        <f t="shared" si="30"/>
        <v>22234818188.513439</v>
      </c>
    </row>
    <row r="76" spans="1:19" x14ac:dyDescent="0.2">
      <c r="A76" t="s">
        <v>77</v>
      </c>
      <c r="B76" s="14">
        <v>5.0000000000000001E-3</v>
      </c>
      <c r="C76" s="5">
        <f>S63/100</f>
        <v>4.6540483556409169E-3</v>
      </c>
      <c r="D76" s="5">
        <f>S62/100</f>
        <v>6.1486506903697218E-3</v>
      </c>
      <c r="E76" s="5">
        <v>180000</v>
      </c>
      <c r="F76" s="5">
        <v>160000</v>
      </c>
      <c r="G76" s="5">
        <f t="shared" si="19"/>
        <v>1.3211402676805624</v>
      </c>
      <c r="H76" s="5">
        <f t="shared" si="20"/>
        <v>0.27849520285591212</v>
      </c>
      <c r="I76" s="5">
        <f t="shared" si="21"/>
        <v>1.125</v>
      </c>
      <c r="J76" s="5">
        <f t="shared" si="22"/>
        <v>0.11778303565638346</v>
      </c>
      <c r="K76" s="4">
        <f t="shared" si="23"/>
        <v>2.3644763552230503</v>
      </c>
      <c r="L76" s="4">
        <f t="shared" si="24"/>
        <v>18575.311258232963</v>
      </c>
      <c r="M76" s="7">
        <f t="shared" si="25"/>
        <v>0.10637342787917367</v>
      </c>
      <c r="N76" s="8">
        <f t="shared" si="26"/>
        <v>174623.60317401911</v>
      </c>
      <c r="O76">
        <f t="shared" si="27"/>
        <v>4710954</v>
      </c>
      <c r="P76" s="8">
        <f>O76*(K76/(1-K76))*POWER(L76,K76)*(POWER(N75,1-K76)-POWER(N76,1-K76))+P75</f>
        <v>7477555453.4749517</v>
      </c>
      <c r="Q76" s="9">
        <f t="shared" si="28"/>
        <v>23554.77</v>
      </c>
      <c r="R76" s="4">
        <f t="shared" si="29"/>
        <v>317453.97868350876</v>
      </c>
      <c r="S76" s="3">
        <f t="shared" si="30"/>
        <v>32490711245.783104</v>
      </c>
    </row>
    <row r="77" spans="1:19" x14ac:dyDescent="0.2">
      <c r="A77" t="s">
        <v>73</v>
      </c>
      <c r="B77" s="14">
        <v>0.01</v>
      </c>
      <c r="C77" s="5">
        <f>S61/100</f>
        <v>8.2577758778370584E-3</v>
      </c>
      <c r="D77" s="5">
        <f>S60/100</f>
        <v>1.0957352125790232E-2</v>
      </c>
      <c r="E77" s="5">
        <v>140000</v>
      </c>
      <c r="F77" s="5">
        <v>120000</v>
      </c>
      <c r="G77" s="5">
        <f t="shared" si="19"/>
        <v>1.3269132376429025</v>
      </c>
      <c r="H77" s="5">
        <f t="shared" si="20"/>
        <v>0.28285537087864326</v>
      </c>
      <c r="I77" s="5">
        <f t="shared" si="21"/>
        <v>1.1666666666666667</v>
      </c>
      <c r="J77" s="5">
        <f t="shared" si="22"/>
        <v>0.15415067982725836</v>
      </c>
      <c r="K77" s="4">
        <f t="shared" si="23"/>
        <v>1.8349278199461183</v>
      </c>
      <c r="L77" s="4">
        <f t="shared" si="24"/>
        <v>10253.187666353171</v>
      </c>
      <c r="M77" s="7">
        <f t="shared" si="25"/>
        <v>8.1290326905491664E-2</v>
      </c>
      <c r="N77" s="8">
        <f t="shared" si="26"/>
        <v>126130.47648674795</v>
      </c>
      <c r="O77">
        <f t="shared" si="27"/>
        <v>4710954</v>
      </c>
      <c r="P77" s="8">
        <f>O77*(K77/(1-K77))*POWER(L77,K77)*(POWER(N76,1-K77)-POWER(N77,1-K77))+P76</f>
        <v>10583594187.357067</v>
      </c>
      <c r="Q77" s="9">
        <f t="shared" si="28"/>
        <v>47109.54</v>
      </c>
      <c r="R77" s="4">
        <f t="shared" si="29"/>
        <v>224659.2555851122</v>
      </c>
      <c r="S77" s="3">
        <f t="shared" si="30"/>
        <v>45986753936.296822</v>
      </c>
    </row>
    <row r="78" spans="1:19" x14ac:dyDescent="0.2">
      <c r="A78" t="s">
        <v>79</v>
      </c>
      <c r="B78" s="14">
        <v>0.02</v>
      </c>
      <c r="C78" s="5">
        <f>S58/100</f>
        <v>1.8485446655857815E-2</v>
      </c>
      <c r="D78" s="5">
        <f>S57/100</f>
        <v>2.184609986342469E-2</v>
      </c>
      <c r="E78" s="5">
        <v>90000</v>
      </c>
      <c r="F78" s="5">
        <v>80000</v>
      </c>
      <c r="G78" s="5">
        <f t="shared" si="19"/>
        <v>1.1817999462026483</v>
      </c>
      <c r="H78" s="5">
        <f t="shared" si="20"/>
        <v>0.16703865440789972</v>
      </c>
      <c r="I78" s="5">
        <f t="shared" si="21"/>
        <v>1.125</v>
      </c>
      <c r="J78" s="5">
        <f t="shared" si="22"/>
        <v>0.11778303565638346</v>
      </c>
      <c r="K78" s="4">
        <f t="shared" si="23"/>
        <v>1.4181894147745782</v>
      </c>
      <c r="L78" s="4">
        <f t="shared" si="24"/>
        <v>5396.8701412620567</v>
      </c>
      <c r="M78" s="7">
        <f t="shared" si="25"/>
        <v>6.3389123598317262E-2</v>
      </c>
      <c r="N78" s="8">
        <f t="shared" si="26"/>
        <v>85138.740447979988</v>
      </c>
      <c r="O78">
        <f t="shared" si="27"/>
        <v>4710954</v>
      </c>
      <c r="P78" s="8">
        <f>O78*(K78/(1-K78))*POWER(L78,K78)*(POWER(N77,1-K78)-POWER(N78,1-K78))+P77</f>
        <v>14706743212.729042</v>
      </c>
      <c r="Q78" s="9">
        <f t="shared" si="28"/>
        <v>94219.08</v>
      </c>
      <c r="R78" s="4">
        <f t="shared" si="29"/>
        <v>156090.92354466888</v>
      </c>
      <c r="S78" s="3">
        <f t="shared" si="30"/>
        <v>63902240520.142532</v>
      </c>
    </row>
    <row r="79" spans="1:19" x14ac:dyDescent="0.2">
      <c r="Q79" s="3"/>
    </row>
    <row r="81" spans="1:7" ht="15" x14ac:dyDescent="0.25">
      <c r="A81" s="15" t="s">
        <v>60</v>
      </c>
      <c r="B81" s="16"/>
    </row>
    <row r="82" spans="1:7" ht="15" x14ac:dyDescent="0.25">
      <c r="A82" s="2" t="s">
        <v>61</v>
      </c>
    </row>
    <row r="84" spans="1:7" x14ac:dyDescent="0.2">
      <c r="A84" s="4" t="s">
        <v>27</v>
      </c>
      <c r="B84" s="4" t="s">
        <v>62</v>
      </c>
      <c r="C84" s="4" t="s">
        <v>85</v>
      </c>
      <c r="D84" s="5"/>
      <c r="E84" s="5"/>
      <c r="F84" s="4" t="s">
        <v>63</v>
      </c>
      <c r="G84" s="5"/>
    </row>
    <row r="85" spans="1:7" ht="15" x14ac:dyDescent="0.25">
      <c r="A85" s="18">
        <v>5.0000000000000001E-4</v>
      </c>
      <c r="B85" s="3">
        <f t="shared" ref="B85:B90" si="31">S32+S73</f>
        <v>16252392304.369938</v>
      </c>
      <c r="C85" s="26">
        <f t="shared" ref="C85:C90" si="32">1270100000000*1.23</f>
        <v>1562223000000</v>
      </c>
      <c r="F85" s="10">
        <f t="shared" ref="F85:F90" si="33">B85/C85*100</f>
        <v>1.0403375385185047</v>
      </c>
    </row>
    <row r="86" spans="1:7" ht="15" x14ac:dyDescent="0.25">
      <c r="A86" s="18">
        <v>1E-3</v>
      </c>
      <c r="B86" s="3">
        <f t="shared" si="31"/>
        <v>27044229700.768715</v>
      </c>
      <c r="C86" s="26">
        <f t="shared" si="32"/>
        <v>1562223000000</v>
      </c>
      <c r="F86" s="10">
        <f t="shared" si="33"/>
        <v>1.7311375969223803</v>
      </c>
    </row>
    <row r="87" spans="1:7" ht="15" x14ac:dyDescent="0.25">
      <c r="A87" s="18">
        <v>2.5000000000000001E-3</v>
      </c>
      <c r="B87" s="3">
        <f t="shared" si="31"/>
        <v>45719410881.367981</v>
      </c>
      <c r="C87" s="26">
        <f t="shared" si="32"/>
        <v>1562223000000</v>
      </c>
      <c r="F87" s="10">
        <f t="shared" si="33"/>
        <v>2.9265611171624015</v>
      </c>
    </row>
    <row r="88" spans="1:7" ht="15" x14ac:dyDescent="0.25">
      <c r="A88" s="18">
        <v>5.0000000000000001E-3</v>
      </c>
      <c r="B88" s="3">
        <f t="shared" si="31"/>
        <v>70643717715.469955</v>
      </c>
      <c r="C88" s="26">
        <f t="shared" si="32"/>
        <v>1562223000000</v>
      </c>
      <c r="F88" s="10">
        <f t="shared" si="33"/>
        <v>4.5219995938780793</v>
      </c>
    </row>
    <row r="89" spans="1:7" ht="15" x14ac:dyDescent="0.25">
      <c r="A89" s="19">
        <v>0.01</v>
      </c>
      <c r="B89" s="3">
        <f t="shared" si="31"/>
        <v>103344509282.47794</v>
      </c>
      <c r="C89" s="26">
        <f t="shared" si="32"/>
        <v>1562223000000</v>
      </c>
      <c r="F89" s="10">
        <f t="shared" si="33"/>
        <v>6.6152213405178353</v>
      </c>
    </row>
    <row r="90" spans="1:7" ht="15" x14ac:dyDescent="0.25">
      <c r="A90" s="19">
        <v>0.02</v>
      </c>
      <c r="B90" s="3">
        <f t="shared" si="31"/>
        <v>144698493981.62329</v>
      </c>
      <c r="C90" s="26">
        <f t="shared" si="32"/>
        <v>1562223000000</v>
      </c>
      <c r="F90" s="10">
        <f t="shared" si="33"/>
        <v>9.2623456434595628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activeCell="E14" sqref="E14"/>
    </sheetView>
  </sheetViews>
  <sheetFormatPr defaultRowHeight="12.75" x14ac:dyDescent="0.2"/>
  <cols>
    <col min="1" max="1" width="16.5703125" customWidth="1"/>
    <col min="2" max="2" width="13.42578125" customWidth="1"/>
    <col min="3" max="3" width="27.28515625" customWidth="1"/>
    <col min="4" max="4" width="15" customWidth="1"/>
    <col min="5" max="5" width="17.5703125" customWidth="1"/>
    <col min="8" max="8" width="12" bestFit="1" customWidth="1"/>
  </cols>
  <sheetData>
    <row r="1" spans="1:5" ht="15.75" x14ac:dyDescent="0.25">
      <c r="A1" s="29" t="s">
        <v>107</v>
      </c>
      <c r="B1" s="29"/>
      <c r="C1" s="27"/>
      <c r="D1" s="27"/>
      <c r="E1" s="27"/>
    </row>
    <row r="2" spans="1:5" x14ac:dyDescent="0.2">
      <c r="A2" s="27"/>
      <c r="B2" s="27"/>
      <c r="C2" s="27"/>
      <c r="D2" s="27"/>
      <c r="E2" s="27"/>
    </row>
    <row r="3" spans="1:5" x14ac:dyDescent="0.2">
      <c r="A3" s="27" t="s">
        <v>103</v>
      </c>
      <c r="B3" s="27" t="s">
        <v>106</v>
      </c>
      <c r="C3" s="27" t="s">
        <v>62</v>
      </c>
      <c r="D3" s="27" t="s">
        <v>108</v>
      </c>
      <c r="E3" s="27" t="s">
        <v>104</v>
      </c>
    </row>
    <row r="4" spans="1:5" x14ac:dyDescent="0.2">
      <c r="A4" s="18">
        <v>1E-3</v>
      </c>
      <c r="B4" s="32">
        <v>12722292</v>
      </c>
    </row>
    <row r="5" spans="1:5" x14ac:dyDescent="0.2">
      <c r="A5" s="18">
        <v>5.0000000000000001E-3</v>
      </c>
      <c r="B5" s="32">
        <v>12722292</v>
      </c>
      <c r="C5">
        <v>1603008792</v>
      </c>
      <c r="D5">
        <f>10033590025.54+C5</f>
        <v>11636598817.540001</v>
      </c>
      <c r="E5">
        <f>C5/D5*100</f>
        <v>13.775578389655948</v>
      </c>
    </row>
    <row r="6" spans="1:5" x14ac:dyDescent="0.2">
      <c r="A6" s="19">
        <v>0.01</v>
      </c>
      <c r="B6">
        <v>4707000</v>
      </c>
      <c r="C6" s="31"/>
      <c r="E6">
        <v>21.91</v>
      </c>
    </row>
    <row r="7" spans="1:5" x14ac:dyDescent="0.2">
      <c r="A7" s="19">
        <v>0.05</v>
      </c>
      <c r="B7">
        <v>2124100</v>
      </c>
      <c r="E7">
        <v>36.57</v>
      </c>
    </row>
    <row r="8" spans="1:5" x14ac:dyDescent="0.2">
      <c r="A8" s="19">
        <v>0.1</v>
      </c>
      <c r="B8">
        <v>1433300</v>
      </c>
      <c r="E8">
        <v>48.47</v>
      </c>
    </row>
    <row r="9" spans="1:5" x14ac:dyDescent="0.2">
      <c r="A9" s="19"/>
    </row>
    <row r="11" spans="1:5" ht="15" x14ac:dyDescent="0.25">
      <c r="A11" s="39" t="s">
        <v>121</v>
      </c>
    </row>
    <row r="13" spans="1:5" x14ac:dyDescent="0.2">
      <c r="A13" s="27" t="s">
        <v>103</v>
      </c>
      <c r="B13" t="s">
        <v>106</v>
      </c>
      <c r="C13" t="s">
        <v>62</v>
      </c>
      <c r="D13" t="s">
        <v>108</v>
      </c>
      <c r="E13" s="27" t="s">
        <v>104</v>
      </c>
    </row>
    <row r="14" spans="1:5" x14ac:dyDescent="0.2">
      <c r="A14" s="18">
        <v>1E-3</v>
      </c>
      <c r="B14">
        <v>19132502</v>
      </c>
      <c r="C14">
        <v>746560314.35590005</v>
      </c>
      <c r="D14">
        <v>11781867569.207701</v>
      </c>
      <c r="E14">
        <f>C14/D14*100</f>
        <v>6.336519316403284</v>
      </c>
    </row>
    <row r="15" spans="1:5" x14ac:dyDescent="0.2">
      <c r="A15" s="18">
        <v>5.0000000000000001E-3</v>
      </c>
      <c r="B15">
        <v>6739620</v>
      </c>
      <c r="C15">
        <f>799788337.3218+C14</f>
        <v>1546348651.6777</v>
      </c>
      <c r="D15">
        <v>11781867569.207701</v>
      </c>
      <c r="E15">
        <f>C15/D15*100</f>
        <v>13.124817798148856</v>
      </c>
    </row>
    <row r="16" spans="1:5" x14ac:dyDescent="0.2">
      <c r="A16" s="19">
        <v>0.01</v>
      </c>
      <c r="B16">
        <v>4596500</v>
      </c>
      <c r="E16">
        <v>21.44</v>
      </c>
    </row>
    <row r="17" spans="1:5" x14ac:dyDescent="0.2">
      <c r="A17" s="19">
        <v>0.05</v>
      </c>
      <c r="B17">
        <v>2109489</v>
      </c>
      <c r="E17">
        <v>36.01</v>
      </c>
    </row>
    <row r="18" spans="1:5" x14ac:dyDescent="0.2">
      <c r="A18" s="19">
        <v>0.1</v>
      </c>
      <c r="B18">
        <v>1458000</v>
      </c>
      <c r="E18">
        <v>48.11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A62" zoomScale="90" zoomScaleNormal="90" workbookViewId="0">
      <selection activeCell="F88" sqref="F88"/>
    </sheetView>
  </sheetViews>
  <sheetFormatPr defaultRowHeight="12.75" x14ac:dyDescent="0.2"/>
  <cols>
    <col min="1" max="1" width="15.85546875" customWidth="1"/>
    <col min="2" max="2" width="10" customWidth="1"/>
    <col min="3" max="3" width="15.85546875" customWidth="1"/>
    <col min="4" max="5" width="10" customWidth="1"/>
    <col min="6" max="7" width="9.5703125" customWidth="1"/>
    <col min="8" max="9" width="10" customWidth="1"/>
    <col min="10" max="13" width="11" customWidth="1"/>
    <col min="16" max="16" width="12.28515625" customWidth="1"/>
    <col min="17" max="17" width="11.5703125" customWidth="1"/>
    <col min="18" max="18" width="12.28515625" customWidth="1"/>
    <col min="19" max="19" width="12" customWidth="1"/>
    <col min="20" max="20" width="11.85546875" customWidth="1"/>
    <col min="21" max="21" width="12.140625" customWidth="1"/>
    <col min="22" max="22" width="11.42578125" customWidth="1"/>
    <col min="23" max="23" width="21.28515625" customWidth="1"/>
    <col min="24" max="24" width="12.855468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6" spans="1:19" x14ac:dyDescent="0.2">
      <c r="A6" t="s">
        <v>0</v>
      </c>
      <c r="B6" t="s">
        <v>1</v>
      </c>
      <c r="C6" t="s">
        <v>19</v>
      </c>
      <c r="D6" t="s">
        <v>5</v>
      </c>
      <c r="E6" t="s">
        <v>19</v>
      </c>
      <c r="F6" t="s">
        <v>6</v>
      </c>
      <c r="G6" t="s">
        <v>19</v>
      </c>
      <c r="H6" t="s">
        <v>7</v>
      </c>
      <c r="I6" t="s">
        <v>19</v>
      </c>
      <c r="J6" t="s">
        <v>8</v>
      </c>
      <c r="K6" t="s">
        <v>19</v>
      </c>
      <c r="L6" t="s">
        <v>9</v>
      </c>
      <c r="M6" t="s">
        <v>19</v>
      </c>
      <c r="N6" t="s">
        <v>2</v>
      </c>
      <c r="O6" t="s">
        <v>19</v>
      </c>
      <c r="P6" t="s">
        <v>20</v>
      </c>
      <c r="Q6" t="s">
        <v>21</v>
      </c>
      <c r="R6" t="s">
        <v>22</v>
      </c>
      <c r="S6" t="s">
        <v>23</v>
      </c>
    </row>
    <row r="7" spans="1:19" x14ac:dyDescent="0.2">
      <c r="A7">
        <v>1001</v>
      </c>
      <c r="B7">
        <v>27</v>
      </c>
      <c r="C7">
        <v>790.51383399209476</v>
      </c>
      <c r="D7">
        <v>15</v>
      </c>
      <c r="E7">
        <v>677.96610169491521</v>
      </c>
      <c r="F7">
        <v>25</v>
      </c>
      <c r="G7">
        <v>288.12512862728954</v>
      </c>
      <c r="H7">
        <v>55</v>
      </c>
      <c r="I7">
        <v>101.90711894016594</v>
      </c>
      <c r="J7">
        <v>67</v>
      </c>
      <c r="K7">
        <v>41.229826834727291</v>
      </c>
      <c r="L7">
        <v>41</v>
      </c>
      <c r="M7">
        <v>16.418050473778024</v>
      </c>
      <c r="N7">
        <v>28</v>
      </c>
      <c r="O7">
        <v>3.802981046433171</v>
      </c>
      <c r="P7">
        <f>(B7*C7)+(D7*E7)+(F7*G7)+(H7*I7)+(J7*K7)+(L7*M7)+(N7*O7)</f>
        <v>47863.406737253419</v>
      </c>
      <c r="Q7" s="3">
        <f>P7+Q8</f>
        <v>609103.63611729362</v>
      </c>
    </row>
    <row r="8" spans="1:19" x14ac:dyDescent="0.2">
      <c r="A8">
        <v>2001</v>
      </c>
      <c r="B8">
        <v>22</v>
      </c>
      <c r="C8">
        <v>790.51383399209476</v>
      </c>
      <c r="D8">
        <v>36</v>
      </c>
      <c r="E8">
        <v>677.96610169491521</v>
      </c>
      <c r="F8">
        <v>77</v>
      </c>
      <c r="G8">
        <v>288.12512862728954</v>
      </c>
      <c r="H8">
        <v>124</v>
      </c>
      <c r="I8">
        <v>101.90711894016594</v>
      </c>
      <c r="J8">
        <v>227</v>
      </c>
      <c r="K8">
        <v>41.229826834727291</v>
      </c>
      <c r="L8">
        <v>181</v>
      </c>
      <c r="M8">
        <v>16.418050473778024</v>
      </c>
      <c r="N8">
        <v>122</v>
      </c>
      <c r="O8">
        <v>3.802981046433171</v>
      </c>
      <c r="P8">
        <f t="shared" ref="P8:P22" si="0">(B8*C8)+(D8*E8)+(F8*G8)+(H8*I8)+(J8*K8)+(L8*M8)+(N8*O8)</f>
        <v>89415.003176626677</v>
      </c>
      <c r="Q8" s="3">
        <f>P8+Q9</f>
        <v>561240.2293800402</v>
      </c>
    </row>
    <row r="9" spans="1:19" x14ac:dyDescent="0.2">
      <c r="A9">
        <v>3001</v>
      </c>
      <c r="B9">
        <v>18</v>
      </c>
      <c r="C9">
        <v>790.51383399209476</v>
      </c>
      <c r="D9">
        <v>31</v>
      </c>
      <c r="E9">
        <v>677.96610169491521</v>
      </c>
      <c r="F9">
        <v>56</v>
      </c>
      <c r="G9">
        <v>288.12512862728954</v>
      </c>
      <c r="H9">
        <v>102</v>
      </c>
      <c r="I9">
        <v>101.90711894016594</v>
      </c>
      <c r="J9">
        <v>160</v>
      </c>
      <c r="K9">
        <v>41.229826834727291</v>
      </c>
      <c r="L9">
        <v>164</v>
      </c>
      <c r="M9">
        <v>16.418050473778024</v>
      </c>
      <c r="N9">
        <v>90</v>
      </c>
      <c r="O9">
        <v>3.802981046433171</v>
      </c>
      <c r="P9">
        <f t="shared" si="0"/>
        <v>71407.332364860165</v>
      </c>
      <c r="Q9" s="3">
        <f>P9+Q10</f>
        <v>471825.22620341356</v>
      </c>
    </row>
    <row r="10" spans="1:19" x14ac:dyDescent="0.2">
      <c r="A10">
        <v>4001</v>
      </c>
      <c r="B10">
        <v>8</v>
      </c>
      <c r="C10">
        <v>790.51383399209476</v>
      </c>
      <c r="D10">
        <v>17</v>
      </c>
      <c r="E10">
        <v>677.96610169491521</v>
      </c>
      <c r="F10">
        <v>36</v>
      </c>
      <c r="G10">
        <v>288.12512862728954</v>
      </c>
      <c r="H10">
        <v>66</v>
      </c>
      <c r="I10">
        <v>101.90711894016594</v>
      </c>
      <c r="J10">
        <v>126</v>
      </c>
      <c r="K10">
        <v>41.229826834727291</v>
      </c>
      <c r="L10">
        <v>127</v>
      </c>
      <c r="M10">
        <v>16.418050473778024</v>
      </c>
      <c r="N10">
        <v>70</v>
      </c>
      <c r="O10">
        <v>3.802981046433171</v>
      </c>
      <c r="P10">
        <f t="shared" si="0"/>
        <v>42494.168145979456</v>
      </c>
      <c r="Q10" s="3">
        <f>P10+Q11</f>
        <v>400417.8938385534</v>
      </c>
    </row>
    <row r="11" spans="1:19" x14ac:dyDescent="0.2">
      <c r="A11">
        <v>5001</v>
      </c>
      <c r="B11">
        <v>13</v>
      </c>
      <c r="C11">
        <v>790.51383399209476</v>
      </c>
      <c r="D11">
        <v>51</v>
      </c>
      <c r="E11">
        <v>677.96610169491521</v>
      </c>
      <c r="F11">
        <v>156</v>
      </c>
      <c r="G11">
        <v>288.12512862728954</v>
      </c>
      <c r="H11">
        <v>420</v>
      </c>
      <c r="I11">
        <v>101.90711894016594</v>
      </c>
      <c r="J11">
        <v>730</v>
      </c>
      <c r="K11">
        <v>41.229826834727291</v>
      </c>
      <c r="L11">
        <v>704</v>
      </c>
      <c r="M11">
        <v>16.418050473778024</v>
      </c>
      <c r="N11">
        <v>507</v>
      </c>
      <c r="O11">
        <v>3.802981046433171</v>
      </c>
      <c r="P11">
        <f t="shared" si="0"/>
        <v>176185.65356249703</v>
      </c>
      <c r="Q11" s="3">
        <f>P11+Q12</f>
        <v>357923.72569257393</v>
      </c>
    </row>
    <row r="12" spans="1:19" x14ac:dyDescent="0.2">
      <c r="A12">
        <v>10001</v>
      </c>
      <c r="B12">
        <v>9</v>
      </c>
      <c r="C12">
        <v>790.51383399209476</v>
      </c>
      <c r="D12">
        <v>18</v>
      </c>
      <c r="E12">
        <v>677.96610169491521</v>
      </c>
      <c r="F12">
        <v>67</v>
      </c>
      <c r="G12">
        <v>288.12512862728954</v>
      </c>
      <c r="H12">
        <v>151</v>
      </c>
      <c r="I12">
        <v>101.90711894016594</v>
      </c>
      <c r="J12">
        <v>332</v>
      </c>
      <c r="K12">
        <v>41.229826834727291</v>
      </c>
      <c r="L12">
        <v>342</v>
      </c>
      <c r="M12">
        <v>16.418050473778024</v>
      </c>
      <c r="N12">
        <v>219</v>
      </c>
      <c r="O12">
        <v>3.802981046433171</v>
      </c>
      <c r="P12">
        <f t="shared" si="0"/>
        <v>74146.501534761177</v>
      </c>
      <c r="Q12" s="3">
        <f>P12+Q13</f>
        <v>181738.07213007694</v>
      </c>
      <c r="R12">
        <v>2931500</v>
      </c>
      <c r="S12">
        <f>Q12/R12*100</f>
        <v>6.1994907770792063</v>
      </c>
    </row>
    <row r="13" spans="1:19" x14ac:dyDescent="0.2">
      <c r="A13">
        <v>15001</v>
      </c>
      <c r="B13">
        <v>4</v>
      </c>
      <c r="C13">
        <v>790.51383399209476</v>
      </c>
      <c r="D13">
        <v>9</v>
      </c>
      <c r="E13">
        <v>677.96610169491521</v>
      </c>
      <c r="F13">
        <v>30</v>
      </c>
      <c r="G13">
        <v>288.12512862728954</v>
      </c>
      <c r="H13">
        <v>82</v>
      </c>
      <c r="I13">
        <v>101.90711894016594</v>
      </c>
      <c r="J13">
        <v>177</v>
      </c>
      <c r="K13">
        <v>41.229826834727291</v>
      </c>
      <c r="L13">
        <v>174</v>
      </c>
      <c r="M13">
        <v>16.418050473778024</v>
      </c>
      <c r="N13">
        <v>121</v>
      </c>
      <c r="O13">
        <v>3.802981046433171</v>
      </c>
      <c r="P13">
        <f t="shared" si="0"/>
        <v>36878.468701937432</v>
      </c>
      <c r="Q13" s="3">
        <f>P13+Q14</f>
        <v>107591.57059531577</v>
      </c>
      <c r="R13">
        <v>2931500</v>
      </c>
      <c r="S13">
        <f t="shared" ref="S13:S21" si="1">Q13/R13*100</f>
        <v>3.6701883198129206</v>
      </c>
    </row>
    <row r="14" spans="1:19" x14ac:dyDescent="0.2">
      <c r="A14">
        <v>20001</v>
      </c>
      <c r="B14">
        <v>2</v>
      </c>
      <c r="C14">
        <v>790.51383399209476</v>
      </c>
      <c r="D14">
        <v>6</v>
      </c>
      <c r="E14">
        <v>677.96610169491521</v>
      </c>
      <c r="F14">
        <v>25</v>
      </c>
      <c r="G14">
        <v>288.12512862728954</v>
      </c>
      <c r="H14">
        <v>65</v>
      </c>
      <c r="I14">
        <v>101.90711894016594</v>
      </c>
      <c r="J14">
        <v>104</v>
      </c>
      <c r="K14">
        <v>41.229826834727291</v>
      </c>
      <c r="L14">
        <v>119</v>
      </c>
      <c r="M14">
        <v>16.418050473778024</v>
      </c>
      <c r="N14">
        <v>90</v>
      </c>
      <c r="O14">
        <v>3.802981046433171</v>
      </c>
      <c r="P14">
        <f t="shared" si="0"/>
        <v>26059.833516316914</v>
      </c>
      <c r="Q14" s="3">
        <f>P14+Q15</f>
        <v>70713.101893378334</v>
      </c>
      <c r="R14">
        <v>2931500</v>
      </c>
      <c r="S14">
        <f t="shared" si="1"/>
        <v>2.4121815416468815</v>
      </c>
    </row>
    <row r="15" spans="1:19" x14ac:dyDescent="0.2">
      <c r="A15">
        <v>25001</v>
      </c>
      <c r="B15">
        <v>1</v>
      </c>
      <c r="C15">
        <v>790.51383399209476</v>
      </c>
      <c r="D15">
        <v>2</v>
      </c>
      <c r="E15">
        <v>677.96610169491521</v>
      </c>
      <c r="F15">
        <v>14</v>
      </c>
      <c r="G15">
        <v>288.12512862728954</v>
      </c>
      <c r="H15">
        <v>28</v>
      </c>
      <c r="I15">
        <v>101.90711894016594</v>
      </c>
      <c r="J15">
        <v>63</v>
      </c>
      <c r="K15">
        <v>41.229826834727291</v>
      </c>
      <c r="L15">
        <v>74</v>
      </c>
      <c r="M15">
        <v>16.418050473778024</v>
      </c>
      <c r="N15">
        <v>39</v>
      </c>
      <c r="O15">
        <v>3.802981046433171</v>
      </c>
      <c r="P15">
        <f t="shared" si="0"/>
        <v>12994.328254946911</v>
      </c>
      <c r="Q15" s="3">
        <f>P15+Q16</f>
        <v>44653.268377061424</v>
      </c>
      <c r="R15">
        <v>2931500</v>
      </c>
      <c r="S15">
        <f t="shared" si="1"/>
        <v>1.5232225269337003</v>
      </c>
    </row>
    <row r="16" spans="1:19" x14ac:dyDescent="0.2">
      <c r="A16">
        <v>30001</v>
      </c>
      <c r="B16">
        <v>1</v>
      </c>
      <c r="C16">
        <v>790.51383399209476</v>
      </c>
      <c r="D16">
        <v>2</v>
      </c>
      <c r="E16">
        <v>677.96610169491521</v>
      </c>
      <c r="F16">
        <v>9</v>
      </c>
      <c r="G16">
        <v>288.12512862728954</v>
      </c>
      <c r="H16">
        <v>32</v>
      </c>
      <c r="I16">
        <v>101.90711894016594</v>
      </c>
      <c r="J16">
        <v>101</v>
      </c>
      <c r="K16">
        <v>41.229826834727291</v>
      </c>
      <c r="L16">
        <v>100</v>
      </c>
      <c r="M16">
        <v>16.418050473778024</v>
      </c>
      <c r="N16">
        <v>56</v>
      </c>
      <c r="O16">
        <v>3.802981046433171</v>
      </c>
      <c r="P16">
        <f t="shared" si="0"/>
        <v>14019.584497398359</v>
      </c>
      <c r="Q16" s="3">
        <f>P16+Q17</f>
        <v>31658.940122114509</v>
      </c>
      <c r="R16">
        <v>2931500</v>
      </c>
      <c r="S16">
        <f t="shared" si="1"/>
        <v>1.0799570227567632</v>
      </c>
    </row>
    <row r="17" spans="1:21" x14ac:dyDescent="0.2">
      <c r="A17">
        <v>40001</v>
      </c>
      <c r="C17">
        <v>790.51383399209476</v>
      </c>
      <c r="D17">
        <v>1</v>
      </c>
      <c r="E17">
        <v>677.96610169491521</v>
      </c>
      <c r="F17">
        <v>6</v>
      </c>
      <c r="G17">
        <v>288.12512862728954</v>
      </c>
      <c r="H17">
        <v>20</v>
      </c>
      <c r="I17">
        <v>101.90711894016594</v>
      </c>
      <c r="J17">
        <v>42</v>
      </c>
      <c r="K17">
        <v>41.229826834727291</v>
      </c>
      <c r="L17">
        <v>55</v>
      </c>
      <c r="M17">
        <v>16.418050473778024</v>
      </c>
      <c r="N17">
        <v>37</v>
      </c>
      <c r="O17">
        <v>3.802981046433171</v>
      </c>
      <c r="P17">
        <f t="shared" si="0"/>
        <v>7220.2150540963357</v>
      </c>
      <c r="Q17" s="3">
        <f>P17+P18+P19+P20+P21</f>
        <v>17639.35562471615</v>
      </c>
      <c r="R17">
        <v>2931500</v>
      </c>
      <c r="S17">
        <f t="shared" si="1"/>
        <v>0.60171774261354771</v>
      </c>
    </row>
    <row r="18" spans="1:21" x14ac:dyDescent="0.2">
      <c r="A18">
        <v>50001</v>
      </c>
      <c r="C18">
        <v>790.51383399209476</v>
      </c>
      <c r="D18">
        <v>1</v>
      </c>
      <c r="E18">
        <v>677.96610169491521</v>
      </c>
      <c r="F18">
        <v>3</v>
      </c>
      <c r="G18">
        <v>288.12512862728954</v>
      </c>
      <c r="H18">
        <v>11</v>
      </c>
      <c r="I18">
        <v>101.90711894016594</v>
      </c>
      <c r="J18">
        <v>24</v>
      </c>
      <c r="K18">
        <v>41.229826834727291</v>
      </c>
      <c r="L18">
        <v>28</v>
      </c>
      <c r="M18">
        <v>16.418050473778024</v>
      </c>
      <c r="N18">
        <v>21</v>
      </c>
      <c r="O18">
        <v>3.802981046433171</v>
      </c>
      <c r="P18">
        <f t="shared" si="0"/>
        <v>4192.4036551929448</v>
      </c>
      <c r="Q18" s="3">
        <f>P18+P19+P20+P21</f>
        <v>10419.140570619817</v>
      </c>
      <c r="R18">
        <v>2931500</v>
      </c>
      <c r="S18">
        <f t="shared" si="1"/>
        <v>0.35542011156813297</v>
      </c>
    </row>
    <row r="19" spans="1:21" x14ac:dyDescent="0.2">
      <c r="A19">
        <v>60001</v>
      </c>
      <c r="C19">
        <v>790.51383399209476</v>
      </c>
      <c r="D19">
        <v>1</v>
      </c>
      <c r="E19">
        <v>677.96610169491521</v>
      </c>
      <c r="F19">
        <v>1</v>
      </c>
      <c r="G19">
        <v>288.12512862728954</v>
      </c>
      <c r="H19">
        <v>7</v>
      </c>
      <c r="I19">
        <v>101.90711894016594</v>
      </c>
      <c r="J19">
        <v>11</v>
      </c>
      <c r="K19">
        <v>41.229826834727291</v>
      </c>
      <c r="L19">
        <v>17</v>
      </c>
      <c r="M19">
        <v>16.418050473778024</v>
      </c>
      <c r="N19">
        <v>13</v>
      </c>
      <c r="O19">
        <v>3.802981046433171</v>
      </c>
      <c r="P19">
        <f t="shared" si="0"/>
        <v>2461.514769743224</v>
      </c>
      <c r="Q19" s="3">
        <f>P20+P19+P21</f>
        <v>6226.7369154268717</v>
      </c>
      <c r="R19">
        <v>2931500</v>
      </c>
      <c r="S19">
        <f t="shared" si="1"/>
        <v>0.21240787703997516</v>
      </c>
    </row>
    <row r="20" spans="1:21" x14ac:dyDescent="0.2">
      <c r="A20">
        <v>70001</v>
      </c>
      <c r="C20">
        <v>790.51383399209476</v>
      </c>
      <c r="E20">
        <v>677.96610169491521</v>
      </c>
      <c r="F20">
        <v>2</v>
      </c>
      <c r="G20">
        <v>288.12512862728954</v>
      </c>
      <c r="H20">
        <v>6</v>
      </c>
      <c r="I20">
        <v>101.90711894016594</v>
      </c>
      <c r="J20">
        <v>19</v>
      </c>
      <c r="K20">
        <v>41.229826834727291</v>
      </c>
      <c r="L20">
        <v>22</v>
      </c>
      <c r="M20">
        <v>16.418050473778024</v>
      </c>
      <c r="N20">
        <v>14</v>
      </c>
      <c r="O20">
        <v>3.802981046433171</v>
      </c>
      <c r="P20">
        <f t="shared" si="0"/>
        <v>2385.4985258285742</v>
      </c>
      <c r="Q20" s="3">
        <f>P21+P20</f>
        <v>3765.2221456836478</v>
      </c>
      <c r="R20">
        <v>2931500</v>
      </c>
      <c r="S20">
        <f t="shared" si="1"/>
        <v>0.12844012095117338</v>
      </c>
    </row>
    <row r="21" spans="1:21" x14ac:dyDescent="0.2">
      <c r="A21" t="s">
        <v>16</v>
      </c>
      <c r="C21">
        <v>790.51383399209476</v>
      </c>
      <c r="E21">
        <v>677.96610169491521</v>
      </c>
      <c r="G21">
        <v>288.12512862728954</v>
      </c>
      <c r="H21">
        <v>8</v>
      </c>
      <c r="I21">
        <v>101.90711894016594</v>
      </c>
      <c r="J21">
        <v>9</v>
      </c>
      <c r="K21">
        <v>41.229826834727291</v>
      </c>
      <c r="L21">
        <v>9</v>
      </c>
      <c r="M21">
        <v>16.418050473778024</v>
      </c>
      <c r="N21">
        <v>12</v>
      </c>
      <c r="O21">
        <v>3.802981046433171</v>
      </c>
      <c r="P21">
        <f t="shared" si="0"/>
        <v>1379.7236198550736</v>
      </c>
      <c r="Q21" s="3">
        <f>P21</f>
        <v>1379.7236198550736</v>
      </c>
      <c r="R21">
        <v>2931500</v>
      </c>
      <c r="S21">
        <f t="shared" si="1"/>
        <v>4.7065448400309517E-2</v>
      </c>
    </row>
    <row r="22" spans="1:21" x14ac:dyDescent="0.2">
      <c r="A22" t="s">
        <v>3</v>
      </c>
      <c r="B22">
        <f t="shared" ref="B22:N22" si="2">SUM(B7:B21)</f>
        <v>105</v>
      </c>
      <c r="C22">
        <v>790.51383399209499</v>
      </c>
      <c r="D22">
        <f t="shared" si="2"/>
        <v>190</v>
      </c>
      <c r="E22">
        <v>677.96610169491521</v>
      </c>
      <c r="F22">
        <f t="shared" si="2"/>
        <v>507</v>
      </c>
      <c r="G22">
        <v>288.12512862728954</v>
      </c>
      <c r="H22">
        <f t="shared" si="2"/>
        <v>1177</v>
      </c>
      <c r="I22">
        <v>101.90711894016594</v>
      </c>
      <c r="J22">
        <f t="shared" si="2"/>
        <v>2192</v>
      </c>
      <c r="K22">
        <v>41.229826834727291</v>
      </c>
      <c r="L22">
        <f t="shared" si="2"/>
        <v>2157</v>
      </c>
      <c r="M22">
        <v>16.418050473778024</v>
      </c>
      <c r="N22">
        <f t="shared" si="2"/>
        <v>1439</v>
      </c>
      <c r="O22">
        <v>3.802981046433171</v>
      </c>
      <c r="P22">
        <f t="shared" si="0"/>
        <v>609103.63611729373</v>
      </c>
    </row>
    <row r="26" spans="1:21" x14ac:dyDescent="0.2">
      <c r="A26" t="s">
        <v>15</v>
      </c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t="s">
        <v>26</v>
      </c>
      <c r="B31" s="2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41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t="s">
        <v>90</v>
      </c>
      <c r="B32" s="6">
        <v>5.0000000000000001E-4</v>
      </c>
      <c r="C32">
        <f>S21/100</f>
        <v>4.7065448400309518E-4</v>
      </c>
      <c r="D32">
        <f>S20/100</f>
        <v>1.2844012095117338E-3</v>
      </c>
      <c r="E32">
        <v>100000</v>
      </c>
      <c r="F32">
        <v>70000</v>
      </c>
      <c r="G32">
        <f t="shared" ref="G32:G37" si="3">D32/C32</f>
        <v>2.7289683901179771</v>
      </c>
      <c r="H32">
        <f t="shared" ref="H32:H37" si="4">LN(G32)</f>
        <v>1.0039236587049145</v>
      </c>
      <c r="I32">
        <f t="shared" ref="I32:I37" si="5">E32/F32</f>
        <v>1.4285714285714286</v>
      </c>
      <c r="J32">
        <f t="shared" ref="J32:J37" si="6">LN(I32)</f>
        <v>0.35667494393873239</v>
      </c>
      <c r="K32">
        <f t="shared" ref="K32:K37" si="7">H32/J32</f>
        <v>2.8146739090182988</v>
      </c>
      <c r="L32">
        <f t="shared" ref="L32:L37" si="8">F32*((D32)^(1/K32))</f>
        <v>6574.678199522772</v>
      </c>
      <c r="M32">
        <f t="shared" ref="M32:M37" si="9">POWER(B32,1/K32)</f>
        <v>6.7174888000172267E-2</v>
      </c>
      <c r="N32">
        <f t="shared" ref="N32:N37" si="10">L32/M32</f>
        <v>97874.047806464689</v>
      </c>
      <c r="O32">
        <v>2931500</v>
      </c>
      <c r="P32">
        <f>O32*(K32/(1-K32))*POWER(L32,K32)*(-1)*POWER(N32,1-K32)</f>
        <v>222513797.23407596</v>
      </c>
      <c r="Q32">
        <f t="shared" ref="Q32:Q37" si="11">B32*O32</f>
        <v>1465.75</v>
      </c>
      <c r="R32">
        <f t="shared" ref="R32:R37" si="12">P32/Q32</f>
        <v>151808.83318033494</v>
      </c>
      <c r="S32">
        <f t="shared" ref="S32:S37" si="13">26.6582278481013*P32</f>
        <v>5931823506.0122099</v>
      </c>
    </row>
    <row r="33" spans="1:19" ht="15" x14ac:dyDescent="0.25">
      <c r="A33" t="s">
        <v>90</v>
      </c>
      <c r="B33" s="6">
        <v>1E-3</v>
      </c>
      <c r="C33">
        <v>4.7065448400309518E-4</v>
      </c>
      <c r="D33">
        <v>1.2844012095117338E-3</v>
      </c>
      <c r="E33">
        <v>100000</v>
      </c>
      <c r="F33">
        <v>70000</v>
      </c>
      <c r="G33">
        <f t="shared" si="3"/>
        <v>2.7289683901179771</v>
      </c>
      <c r="H33">
        <f t="shared" si="4"/>
        <v>1.0039236587049145</v>
      </c>
      <c r="I33">
        <f t="shared" si="5"/>
        <v>1.4285714285714286</v>
      </c>
      <c r="J33">
        <f t="shared" si="6"/>
        <v>0.35667494393873239</v>
      </c>
      <c r="K33">
        <f t="shared" si="7"/>
        <v>2.8146739090182988</v>
      </c>
      <c r="L33">
        <f t="shared" si="8"/>
        <v>6574.678199522772</v>
      </c>
      <c r="M33">
        <f t="shared" si="9"/>
        <v>8.5932445575255173E-2</v>
      </c>
      <c r="N33">
        <f t="shared" si="10"/>
        <v>76509.84625783762</v>
      </c>
      <c r="O33">
        <v>2931500</v>
      </c>
      <c r="P33">
        <f>O33*(K33/(1-K33))*POWER(L33,K33)*(POWER(N32,1-K33)-POWER(N33,1-K33))+P32</f>
        <v>347885814.43552548</v>
      </c>
      <c r="Q33">
        <f t="shared" si="11"/>
        <v>2931.5</v>
      </c>
      <c r="R33">
        <f t="shared" si="12"/>
        <v>118671.60649344209</v>
      </c>
      <c r="S33">
        <f t="shared" si="13"/>
        <v>9274019306.3445263</v>
      </c>
    </row>
    <row r="34" spans="1:19" ht="15" x14ac:dyDescent="0.25">
      <c r="A34" t="s">
        <v>91</v>
      </c>
      <c r="B34" s="6">
        <v>2.5000000000000001E-3</v>
      </c>
      <c r="C34">
        <f>S19/100</f>
        <v>2.1240787703997515E-3</v>
      </c>
      <c r="D34">
        <f>S18/100</f>
        <v>3.5542011156813299E-3</v>
      </c>
      <c r="E34">
        <v>60000</v>
      </c>
      <c r="F34">
        <v>50000</v>
      </c>
      <c r="G34">
        <f t="shared" si="3"/>
        <v>1.6732906355504082</v>
      </c>
      <c r="H34">
        <f t="shared" si="4"/>
        <v>0.51479212810663244</v>
      </c>
      <c r="I34">
        <f t="shared" si="5"/>
        <v>1.2</v>
      </c>
      <c r="J34">
        <f t="shared" si="6"/>
        <v>0.18232155679395459</v>
      </c>
      <c r="K34">
        <f t="shared" si="7"/>
        <v>2.8235395592217865</v>
      </c>
      <c r="L34">
        <f t="shared" si="8"/>
        <v>6784.6520489146587</v>
      </c>
      <c r="M34">
        <f t="shared" si="9"/>
        <v>0.11979547072638165</v>
      </c>
      <c r="N34">
        <f t="shared" si="10"/>
        <v>56635.296875381166</v>
      </c>
      <c r="O34">
        <v>2931500</v>
      </c>
      <c r="P34">
        <f t="shared" ref="P34:P37" si="14">O34*(K34/(1-K34))*POWER(L34,K34)*(POWER(N33,1-K34)-POWER(N34,1-K34))+P33</f>
        <v>619214625.69465578</v>
      </c>
      <c r="Q34">
        <f t="shared" si="11"/>
        <v>7328.75</v>
      </c>
      <c r="R34">
        <f t="shared" si="12"/>
        <v>84491.165027413372</v>
      </c>
      <c r="S34">
        <f t="shared" si="13"/>
        <v>16507164578.644896</v>
      </c>
    </row>
    <row r="35" spans="1:19" ht="15" x14ac:dyDescent="0.25">
      <c r="A35" t="s">
        <v>94</v>
      </c>
      <c r="B35" s="6">
        <v>5.0000000000000001E-3</v>
      </c>
      <c r="C35">
        <f>S18/100</f>
        <v>3.5542011156813299E-3</v>
      </c>
      <c r="D35">
        <f>S17/100</f>
        <v>6.017177426135477E-3</v>
      </c>
      <c r="E35">
        <v>50000</v>
      </c>
      <c r="F35">
        <v>40000</v>
      </c>
      <c r="G35">
        <f t="shared" si="3"/>
        <v>1.6929760669950165</v>
      </c>
      <c r="H35">
        <f t="shared" si="4"/>
        <v>0.52648796660395225</v>
      </c>
      <c r="I35">
        <f t="shared" si="5"/>
        <v>1.25</v>
      </c>
      <c r="J35">
        <f t="shared" si="6"/>
        <v>0.22314355131420976</v>
      </c>
      <c r="K35">
        <f t="shared" si="7"/>
        <v>2.3594137652788425</v>
      </c>
      <c r="L35">
        <f t="shared" si="8"/>
        <v>4580.2686722050757</v>
      </c>
      <c r="M35">
        <f t="shared" si="9"/>
        <v>0.10586320356760258</v>
      </c>
      <c r="N35">
        <f t="shared" si="10"/>
        <v>43265.917881279573</v>
      </c>
      <c r="O35">
        <v>2931500</v>
      </c>
      <c r="P35">
        <f t="shared" si="14"/>
        <v>956602544.40885615</v>
      </c>
      <c r="Q35">
        <f t="shared" si="11"/>
        <v>14657.5</v>
      </c>
      <c r="R35">
        <f t="shared" si="12"/>
        <v>65263.69056175038</v>
      </c>
      <c r="S35">
        <f t="shared" si="13"/>
        <v>25501328588.924732</v>
      </c>
    </row>
    <row r="36" spans="1:19" ht="15" x14ac:dyDescent="0.25">
      <c r="A36" t="s">
        <v>92</v>
      </c>
      <c r="B36" s="6">
        <v>0.01</v>
      </c>
      <c r="C36">
        <f>S17/100</f>
        <v>6.017177426135477E-3</v>
      </c>
      <c r="D36">
        <f>S16/100</f>
        <v>1.0799570227567633E-2</v>
      </c>
      <c r="E36">
        <v>40000</v>
      </c>
      <c r="F36">
        <v>30000</v>
      </c>
      <c r="G36">
        <f t="shared" si="3"/>
        <v>1.7947900589834593</v>
      </c>
      <c r="H36">
        <f t="shared" si="4"/>
        <v>0.58488805631644225</v>
      </c>
      <c r="I36">
        <f t="shared" si="5"/>
        <v>1.3333333333333333</v>
      </c>
      <c r="J36">
        <f t="shared" si="6"/>
        <v>0.28768207245178085</v>
      </c>
      <c r="K36">
        <f t="shared" si="7"/>
        <v>2.0331056827132561</v>
      </c>
      <c r="L36">
        <f t="shared" si="8"/>
        <v>3234.7134447925623</v>
      </c>
      <c r="M36">
        <f t="shared" si="9"/>
        <v>0.10382054548211031</v>
      </c>
      <c r="N36">
        <f t="shared" si="10"/>
        <v>31156.775662963042</v>
      </c>
      <c r="O36">
        <v>2931500</v>
      </c>
      <c r="P36">
        <f t="shared" si="14"/>
        <v>1473662077.0004222</v>
      </c>
      <c r="Q36">
        <f t="shared" si="11"/>
        <v>29315</v>
      </c>
      <c r="R36">
        <f t="shared" si="12"/>
        <v>50269.898584356888</v>
      </c>
      <c r="S36">
        <f t="shared" si="13"/>
        <v>39285219419.783463</v>
      </c>
    </row>
    <row r="37" spans="1:19" ht="15" x14ac:dyDescent="0.25">
      <c r="A37" t="s">
        <v>95</v>
      </c>
      <c r="B37" s="6">
        <v>0.02</v>
      </c>
      <c r="C37">
        <f>S15/100</f>
        <v>1.5232225269337003E-2</v>
      </c>
      <c r="D37">
        <f>S14/100</f>
        <v>2.4121815416468816E-2</v>
      </c>
      <c r="E37">
        <v>25000</v>
      </c>
      <c r="F37">
        <v>20000</v>
      </c>
      <c r="G37">
        <f t="shared" si="3"/>
        <v>1.5836041674768864</v>
      </c>
      <c r="H37">
        <f t="shared" si="4"/>
        <v>0.45970336789381594</v>
      </c>
      <c r="I37">
        <f t="shared" si="5"/>
        <v>1.25</v>
      </c>
      <c r="J37">
        <f t="shared" si="6"/>
        <v>0.22314355131420976</v>
      </c>
      <c r="K37">
        <f t="shared" si="7"/>
        <v>2.0601239210650766</v>
      </c>
      <c r="L37">
        <f t="shared" si="8"/>
        <v>3279.7395764347016</v>
      </c>
      <c r="M37">
        <f t="shared" si="9"/>
        <v>0.14972933287343651</v>
      </c>
      <c r="N37">
        <f t="shared" si="10"/>
        <v>21904.455950571864</v>
      </c>
      <c r="O37">
        <v>2931500</v>
      </c>
      <c r="P37">
        <f t="shared" si="14"/>
        <v>2251557822.9844351</v>
      </c>
      <c r="Q37">
        <f t="shared" si="11"/>
        <v>58630</v>
      </c>
      <c r="R37">
        <f t="shared" si="12"/>
        <v>38402.828295828673</v>
      </c>
      <c r="S37">
        <f t="shared" si="13"/>
        <v>60022541458.294006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1001</v>
      </c>
      <c r="B50">
        <v>13</v>
      </c>
      <c r="C50">
        <v>1859.2297476759627</v>
      </c>
      <c r="D50">
        <v>17</v>
      </c>
      <c r="E50">
        <v>930.85106382978745</v>
      </c>
      <c r="F50">
        <v>47</v>
      </c>
      <c r="G50">
        <v>404.50736781277084</v>
      </c>
      <c r="H50">
        <v>76</v>
      </c>
      <c r="I50">
        <v>177.10309930423782</v>
      </c>
      <c r="J50">
        <v>124</v>
      </c>
      <c r="K50">
        <v>71.486928104575171</v>
      </c>
      <c r="L50">
        <v>111</v>
      </c>
      <c r="M50">
        <v>24.651793417971156</v>
      </c>
      <c r="N50">
        <v>60</v>
      </c>
      <c r="O50">
        <v>3.9604249517722439</v>
      </c>
      <c r="P50">
        <f>(B50*C50)+(D50*E50)+(F50*G50)+(H50*I50)+(J50*K50)+(L50*M50)+(N50*O50)</f>
        <v>84304.490290684655</v>
      </c>
    </row>
    <row r="51" spans="1:19" x14ac:dyDescent="0.2">
      <c r="A51">
        <v>2001</v>
      </c>
      <c r="B51">
        <v>2</v>
      </c>
      <c r="C51">
        <v>1859.2297476759627</v>
      </c>
      <c r="D51">
        <v>5</v>
      </c>
      <c r="E51">
        <v>930.85106382978745</v>
      </c>
      <c r="F51">
        <v>31</v>
      </c>
      <c r="G51">
        <v>404.50736781277084</v>
      </c>
      <c r="H51">
        <v>67</v>
      </c>
      <c r="I51">
        <v>177.10309930423782</v>
      </c>
      <c r="J51">
        <v>138</v>
      </c>
      <c r="K51">
        <v>71.486928104575171</v>
      </c>
      <c r="L51">
        <v>153</v>
      </c>
      <c r="M51">
        <v>24.651793417971156</v>
      </c>
      <c r="N51">
        <v>163</v>
      </c>
      <c r="O51">
        <v>3.9604249517722439</v>
      </c>
      <c r="P51">
        <f t="shared" ref="P51:P65" si="15">(B51*C51)+(D51*E51)+(F51*G51)+(H51*I51)+(J51*K51)+(L51*M51)+(N51*O51)</f>
        <v>47060.820608600538</v>
      </c>
    </row>
    <row r="52" spans="1:19" x14ac:dyDescent="0.2">
      <c r="A52">
        <v>3001</v>
      </c>
      <c r="B52">
        <v>2</v>
      </c>
      <c r="C52">
        <v>1859.2297476759627</v>
      </c>
      <c r="D52">
        <v>8</v>
      </c>
      <c r="E52">
        <v>930.85106382978745</v>
      </c>
      <c r="F52">
        <v>20</v>
      </c>
      <c r="G52">
        <v>404.50736781277084</v>
      </c>
      <c r="H52">
        <v>57</v>
      </c>
      <c r="I52">
        <v>177.10309930423782</v>
      </c>
      <c r="J52">
        <v>109</v>
      </c>
      <c r="K52">
        <v>71.486928104575171</v>
      </c>
      <c r="L52">
        <v>190</v>
      </c>
      <c r="M52">
        <v>24.651793417971156</v>
      </c>
      <c r="N52">
        <v>183</v>
      </c>
      <c r="O52">
        <v>3.9604249517722439</v>
      </c>
      <c r="P52">
        <f t="shared" si="15"/>
        <v>42550.965701574736</v>
      </c>
    </row>
    <row r="53" spans="1:19" x14ac:dyDescent="0.2">
      <c r="A53">
        <v>4001</v>
      </c>
      <c r="B53">
        <v>1</v>
      </c>
      <c r="C53">
        <v>1859.2297476759627</v>
      </c>
      <c r="D53">
        <v>1</v>
      </c>
      <c r="E53">
        <v>930.85106382978745</v>
      </c>
      <c r="F53">
        <v>5</v>
      </c>
      <c r="G53">
        <v>404.50736781277084</v>
      </c>
      <c r="H53">
        <v>45</v>
      </c>
      <c r="I53">
        <v>177.10309930423782</v>
      </c>
      <c r="J53">
        <v>79</v>
      </c>
      <c r="K53">
        <v>71.486928104575171</v>
      </c>
      <c r="L53">
        <v>107</v>
      </c>
      <c r="M53">
        <v>24.651793417971156</v>
      </c>
      <c r="N53">
        <v>124</v>
      </c>
      <c r="O53">
        <v>3.9604249517722439</v>
      </c>
      <c r="P53">
        <f t="shared" si="15"/>
        <v>21558.559029264416</v>
      </c>
    </row>
    <row r="54" spans="1:19" x14ac:dyDescent="0.2">
      <c r="A54">
        <v>5001</v>
      </c>
      <c r="B54">
        <v>5</v>
      </c>
      <c r="C54">
        <v>1859.2297476759627</v>
      </c>
      <c r="D54">
        <v>11</v>
      </c>
      <c r="E54">
        <v>930.85106382978745</v>
      </c>
      <c r="F54">
        <v>46</v>
      </c>
      <c r="G54">
        <v>404.50736781277084</v>
      </c>
      <c r="H54">
        <v>130</v>
      </c>
      <c r="I54">
        <v>177.10309930423782</v>
      </c>
      <c r="J54">
        <v>305</v>
      </c>
      <c r="K54">
        <v>71.486928104575171</v>
      </c>
      <c r="L54">
        <v>507</v>
      </c>
      <c r="M54">
        <v>24.651793417971156</v>
      </c>
      <c r="N54">
        <v>488</v>
      </c>
      <c r="O54">
        <v>3.9604249517722439</v>
      </c>
      <c r="P54">
        <f t="shared" si="15"/>
        <v>97400.911980717501</v>
      </c>
    </row>
    <row r="55" spans="1:19" x14ac:dyDescent="0.2">
      <c r="A55">
        <v>10001</v>
      </c>
      <c r="B55">
        <v>1</v>
      </c>
      <c r="C55">
        <v>1859.2297476759627</v>
      </c>
      <c r="D55">
        <v>2</v>
      </c>
      <c r="E55">
        <v>930.85106382978745</v>
      </c>
      <c r="F55">
        <v>22</v>
      </c>
      <c r="G55">
        <v>404.50736781277084</v>
      </c>
      <c r="H55">
        <v>58</v>
      </c>
      <c r="I55">
        <v>177.10309930423782</v>
      </c>
      <c r="J55">
        <v>87</v>
      </c>
      <c r="K55">
        <v>71.486928104575171</v>
      </c>
      <c r="L55">
        <v>171</v>
      </c>
      <c r="M55">
        <v>24.651793417971156</v>
      </c>
      <c r="N55">
        <v>160</v>
      </c>
      <c r="O55">
        <v>3.9604249517722439</v>
      </c>
      <c r="P55">
        <f t="shared" si="15"/>
        <v>33960.561138716963</v>
      </c>
      <c r="Q55" s="3">
        <f>P55+Q56</f>
        <v>62905.985959206489</v>
      </c>
      <c r="R55">
        <v>2894000</v>
      </c>
      <c r="S55">
        <f>Q55/R55*100</f>
        <v>2.1736691761992568</v>
      </c>
    </row>
    <row r="56" spans="1:19" x14ac:dyDescent="0.2">
      <c r="A56">
        <v>15001</v>
      </c>
      <c r="B56">
        <v>0</v>
      </c>
      <c r="C56">
        <v>1859.2297476759627</v>
      </c>
      <c r="D56">
        <v>1</v>
      </c>
      <c r="E56">
        <v>930.85106382978745</v>
      </c>
      <c r="F56">
        <v>4</v>
      </c>
      <c r="G56">
        <v>404.50736781277084</v>
      </c>
      <c r="H56">
        <v>17</v>
      </c>
      <c r="I56">
        <v>177.10309930423782</v>
      </c>
      <c r="J56">
        <v>43</v>
      </c>
      <c r="K56">
        <v>71.486928104575171</v>
      </c>
      <c r="L56">
        <v>65</v>
      </c>
      <c r="M56">
        <v>24.651793417971156</v>
      </c>
      <c r="N56">
        <v>74</v>
      </c>
      <c r="O56">
        <v>3.9604249517722439</v>
      </c>
      <c r="P56">
        <f t="shared" si="15"/>
        <v>10529.009150348917</v>
      </c>
      <c r="Q56" s="3">
        <f>P56+Q57</f>
        <v>28945.424820489527</v>
      </c>
      <c r="R56">
        <v>2894000</v>
      </c>
      <c r="S56">
        <f t="shared" ref="S56:S64" si="16">Q56/R56*100</f>
        <v>1.0001874506043376</v>
      </c>
    </row>
    <row r="57" spans="1:19" x14ac:dyDescent="0.2">
      <c r="A57">
        <v>20001</v>
      </c>
      <c r="B57">
        <v>0</v>
      </c>
      <c r="C57">
        <v>1859.2297476759627</v>
      </c>
      <c r="D57">
        <v>1</v>
      </c>
      <c r="E57">
        <v>930.85106382978745</v>
      </c>
      <c r="F57">
        <v>1</v>
      </c>
      <c r="G57">
        <v>404.50736781277084</v>
      </c>
      <c r="H57">
        <v>8</v>
      </c>
      <c r="I57">
        <v>177.10309930423782</v>
      </c>
      <c r="J57">
        <v>27</v>
      </c>
      <c r="K57">
        <v>71.486928104575171</v>
      </c>
      <c r="L57">
        <v>39</v>
      </c>
      <c r="M57">
        <v>24.651793417971156</v>
      </c>
      <c r="N57">
        <v>42</v>
      </c>
      <c r="O57">
        <v>3.9604249517722439</v>
      </c>
      <c r="P57">
        <f t="shared" si="15"/>
        <v>5810.0880761752996</v>
      </c>
      <c r="Q57" s="3">
        <f>P57+Q58</f>
        <v>18416.41567014061</v>
      </c>
      <c r="R57">
        <v>2894000</v>
      </c>
      <c r="S57">
        <f t="shared" si="16"/>
        <v>0.63636543435178339</v>
      </c>
    </row>
    <row r="58" spans="1:19" x14ac:dyDescent="0.2">
      <c r="A58">
        <v>25001</v>
      </c>
      <c r="B58">
        <v>0</v>
      </c>
      <c r="C58">
        <v>1859.2297476759627</v>
      </c>
      <c r="D58">
        <v>0</v>
      </c>
      <c r="E58">
        <v>930.85106382978745</v>
      </c>
      <c r="F58">
        <v>2</v>
      </c>
      <c r="G58">
        <v>404.50736781277084</v>
      </c>
      <c r="H58">
        <v>3</v>
      </c>
      <c r="I58">
        <v>177.10309930423782</v>
      </c>
      <c r="J58">
        <v>10</v>
      </c>
      <c r="K58">
        <v>71.486928104575171</v>
      </c>
      <c r="L58">
        <v>37</v>
      </c>
      <c r="M58">
        <v>24.651793417971156</v>
      </c>
      <c r="N58">
        <v>23</v>
      </c>
      <c r="O58">
        <v>3.9604249517722439</v>
      </c>
      <c r="P58">
        <f t="shared" si="15"/>
        <v>3058.399444939701</v>
      </c>
      <c r="Q58" s="3">
        <f>P58+Q59</f>
        <v>12606.32759396531</v>
      </c>
      <c r="R58">
        <v>2894000</v>
      </c>
      <c r="S58">
        <f t="shared" si="16"/>
        <v>0.43560219744178685</v>
      </c>
    </row>
    <row r="59" spans="1:19" x14ac:dyDescent="0.2">
      <c r="A59">
        <v>30001</v>
      </c>
      <c r="B59">
        <v>0</v>
      </c>
      <c r="C59">
        <v>1859.2297476759627</v>
      </c>
      <c r="D59">
        <v>0</v>
      </c>
      <c r="E59">
        <v>930.85106382978745</v>
      </c>
      <c r="F59">
        <v>2</v>
      </c>
      <c r="G59">
        <v>404.50736781277084</v>
      </c>
      <c r="H59">
        <v>8</v>
      </c>
      <c r="I59">
        <v>177.10309930423782</v>
      </c>
      <c r="J59">
        <v>18</v>
      </c>
      <c r="K59">
        <v>71.486928104575171</v>
      </c>
      <c r="L59">
        <v>22</v>
      </c>
      <c r="M59">
        <v>24.651793417971156</v>
      </c>
      <c r="N59">
        <v>30</v>
      </c>
      <c r="O59">
        <v>3.9604249517722439</v>
      </c>
      <c r="P59">
        <f t="shared" si="15"/>
        <v>4173.7564396903308</v>
      </c>
      <c r="Q59" s="3">
        <f>P59+Q60</f>
        <v>9547.9281490256089</v>
      </c>
      <c r="R59">
        <v>2894000</v>
      </c>
      <c r="S59">
        <f t="shared" si="16"/>
        <v>0.32992149789307562</v>
      </c>
    </row>
    <row r="60" spans="1:19" x14ac:dyDescent="0.2">
      <c r="A60">
        <v>40001</v>
      </c>
      <c r="B60">
        <v>0</v>
      </c>
      <c r="C60">
        <v>1859.2297476759627</v>
      </c>
      <c r="D60">
        <v>0</v>
      </c>
      <c r="E60">
        <v>930.85106382978745</v>
      </c>
      <c r="F60">
        <v>2</v>
      </c>
      <c r="G60">
        <v>404.50736781277084</v>
      </c>
      <c r="H60">
        <v>5</v>
      </c>
      <c r="I60">
        <v>177.10309930423782</v>
      </c>
      <c r="J60">
        <v>2</v>
      </c>
      <c r="K60">
        <v>71.486928104575171</v>
      </c>
      <c r="L60">
        <v>10</v>
      </c>
      <c r="M60">
        <v>24.651793417971156</v>
      </c>
      <c r="N60">
        <v>15</v>
      </c>
      <c r="O60">
        <v>3.9604249517722439</v>
      </c>
      <c r="P60">
        <f t="shared" si="15"/>
        <v>2143.4283968121763</v>
      </c>
      <c r="Q60" s="3">
        <f>P60+P61+P62+P63+P64</f>
        <v>5374.1717093352781</v>
      </c>
      <c r="R60">
        <v>2894000</v>
      </c>
      <c r="S60">
        <f t="shared" si="16"/>
        <v>0.18570047371580092</v>
      </c>
    </row>
    <row r="61" spans="1:19" x14ac:dyDescent="0.2">
      <c r="A61">
        <v>50001</v>
      </c>
      <c r="B61">
        <v>0</v>
      </c>
      <c r="C61">
        <v>1859.2297476759627</v>
      </c>
      <c r="D61">
        <v>1</v>
      </c>
      <c r="E61">
        <v>930.85106382978745</v>
      </c>
      <c r="F61">
        <v>1</v>
      </c>
      <c r="G61">
        <v>404.50736781277084</v>
      </c>
      <c r="H61">
        <v>1</v>
      </c>
      <c r="I61">
        <v>177.10309930423782</v>
      </c>
      <c r="J61">
        <v>7</v>
      </c>
      <c r="K61">
        <v>71.486928104575171</v>
      </c>
      <c r="L61">
        <v>8</v>
      </c>
      <c r="M61">
        <v>24.651793417971156</v>
      </c>
      <c r="N61">
        <v>12</v>
      </c>
      <c r="O61">
        <v>3.9604249517722439</v>
      </c>
      <c r="P61">
        <f t="shared" si="15"/>
        <v>2257.6094744438583</v>
      </c>
      <c r="Q61" s="3">
        <f>P61+P62+P63+P64</f>
        <v>3230.7433125231018</v>
      </c>
      <c r="R61">
        <v>2894000</v>
      </c>
      <c r="S61">
        <f t="shared" si="16"/>
        <v>0.11163591266493095</v>
      </c>
    </row>
    <row r="62" spans="1:19" x14ac:dyDescent="0.2">
      <c r="A62">
        <v>60001</v>
      </c>
      <c r="B62">
        <v>0</v>
      </c>
      <c r="C62">
        <v>1859.2297476759627</v>
      </c>
      <c r="D62">
        <v>0</v>
      </c>
      <c r="E62">
        <v>930.85106382978745</v>
      </c>
      <c r="F62">
        <v>0</v>
      </c>
      <c r="G62">
        <v>404.50736781277084</v>
      </c>
      <c r="H62">
        <v>1</v>
      </c>
      <c r="I62">
        <v>177.10309930423782</v>
      </c>
      <c r="J62">
        <v>5</v>
      </c>
      <c r="K62">
        <v>71.486928104575171</v>
      </c>
      <c r="L62">
        <v>3</v>
      </c>
      <c r="M62">
        <v>24.651793417971156</v>
      </c>
      <c r="N62">
        <v>8</v>
      </c>
      <c r="O62">
        <v>3.9604249517722439</v>
      </c>
      <c r="P62">
        <f t="shared" si="15"/>
        <v>640.17651969520512</v>
      </c>
      <c r="Q62" s="3">
        <f>P63+P62+P64</f>
        <v>973.13383807924311</v>
      </c>
      <c r="R62">
        <v>2894000</v>
      </c>
      <c r="S62">
        <f t="shared" si="16"/>
        <v>3.3625910092579238E-2</v>
      </c>
    </row>
    <row r="63" spans="1:19" x14ac:dyDescent="0.2">
      <c r="A63">
        <v>70001</v>
      </c>
      <c r="B63">
        <v>0</v>
      </c>
      <c r="C63">
        <v>1859.2297476759627</v>
      </c>
      <c r="D63">
        <v>0</v>
      </c>
      <c r="E63">
        <v>930.85106382978745</v>
      </c>
      <c r="F63">
        <v>0</v>
      </c>
      <c r="G63">
        <v>404.50736781277084</v>
      </c>
      <c r="H63">
        <v>0</v>
      </c>
      <c r="I63">
        <v>177.10309930423782</v>
      </c>
      <c r="J63">
        <v>1</v>
      </c>
      <c r="K63">
        <v>71.486928104575171</v>
      </c>
      <c r="L63">
        <v>7</v>
      </c>
      <c r="M63">
        <v>24.651793417971156</v>
      </c>
      <c r="N63">
        <v>3</v>
      </c>
      <c r="O63">
        <v>3.9604249517722439</v>
      </c>
      <c r="P63">
        <f t="shared" si="15"/>
        <v>255.93075688569002</v>
      </c>
      <c r="Q63" s="3">
        <f>P64+P63</f>
        <v>332.95731838403805</v>
      </c>
      <c r="R63">
        <v>2894000</v>
      </c>
      <c r="S63">
        <f t="shared" si="16"/>
        <v>1.15050904762971E-2</v>
      </c>
    </row>
    <row r="64" spans="1:19" x14ac:dyDescent="0.2">
      <c r="A64" t="s">
        <v>16</v>
      </c>
      <c r="B64">
        <v>0</v>
      </c>
      <c r="C64">
        <v>1859.2297476759627</v>
      </c>
      <c r="D64">
        <v>0</v>
      </c>
      <c r="E64">
        <v>930.85106382978745</v>
      </c>
      <c r="F64">
        <v>0</v>
      </c>
      <c r="G64">
        <v>404.50736781277084</v>
      </c>
      <c r="H64">
        <v>0</v>
      </c>
      <c r="I64">
        <v>177.10309930423782</v>
      </c>
      <c r="J64">
        <v>0</v>
      </c>
      <c r="K64">
        <v>71.486928104575171</v>
      </c>
      <c r="L64">
        <v>2</v>
      </c>
      <c r="M64">
        <v>24.651793417971156</v>
      </c>
      <c r="N64">
        <v>7</v>
      </c>
      <c r="O64">
        <v>3.9604249517722439</v>
      </c>
      <c r="P64">
        <f t="shared" si="15"/>
        <v>77.026561498348016</v>
      </c>
      <c r="Q64" s="3">
        <f>P64</f>
        <v>77.026561498348016</v>
      </c>
      <c r="R64">
        <v>2894000</v>
      </c>
      <c r="S64">
        <f t="shared" si="16"/>
        <v>2.6615950759622674E-3</v>
      </c>
    </row>
    <row r="65" spans="1:21" x14ac:dyDescent="0.2">
      <c r="A65" t="s">
        <v>3</v>
      </c>
      <c r="B65">
        <v>24</v>
      </c>
      <c r="C65">
        <v>1859.2297476759627</v>
      </c>
      <c r="D65">
        <v>47</v>
      </c>
      <c r="E65">
        <v>930.85106382978745</v>
      </c>
      <c r="F65">
        <v>183</v>
      </c>
      <c r="G65">
        <v>404.50736781277084</v>
      </c>
      <c r="H65">
        <v>476</v>
      </c>
      <c r="I65">
        <v>177.10309930423782</v>
      </c>
      <c r="J65">
        <v>955</v>
      </c>
      <c r="K65">
        <v>71.486928104575171</v>
      </c>
      <c r="L65">
        <v>1432</v>
      </c>
      <c r="M65">
        <v>24.651793417971156</v>
      </c>
      <c r="N65">
        <v>1392</v>
      </c>
      <c r="O65">
        <v>3.9604249517722439</v>
      </c>
      <c r="P65">
        <f t="shared" si="15"/>
        <v>355781.73357004829</v>
      </c>
    </row>
    <row r="69" spans="1:21" ht="15" x14ac:dyDescent="0.25">
      <c r="A69" s="2" t="s">
        <v>24</v>
      </c>
    </row>
    <row r="70" spans="1:21" x14ac:dyDescent="0.2">
      <c r="G70" t="s">
        <v>25</v>
      </c>
    </row>
    <row r="72" spans="1:21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  <c r="T72" s="2"/>
      <c r="U72" s="2"/>
    </row>
    <row r="73" spans="1:21" ht="15" x14ac:dyDescent="0.25">
      <c r="A73" t="s">
        <v>91</v>
      </c>
      <c r="B73" s="6">
        <v>5.0000000000000001E-4</v>
      </c>
      <c r="C73">
        <f>S62/100</f>
        <v>3.362591009257924E-4</v>
      </c>
      <c r="D73">
        <f>S61/100</f>
        <v>1.1163591266493095E-3</v>
      </c>
      <c r="E73">
        <v>60000</v>
      </c>
      <c r="F73">
        <v>50000</v>
      </c>
      <c r="G73">
        <f t="shared" ref="G73:G78" si="17">D73/C73</f>
        <v>3.3199372851938782</v>
      </c>
      <c r="H73">
        <f t="shared" ref="H73:H78" si="18">LN(G73)</f>
        <v>1.199945892748135</v>
      </c>
      <c r="I73">
        <f t="shared" ref="I73:I78" si="19">E73/F73</f>
        <v>1.2</v>
      </c>
      <c r="J73">
        <f t="shared" ref="J73:J78" si="20">LN(I73)</f>
        <v>0.18232155679395459</v>
      </c>
      <c r="K73">
        <f t="shared" ref="K73:K78" si="21">H73/J73</f>
        <v>6.5814811690326831</v>
      </c>
      <c r="L73">
        <f t="shared" ref="L73:L78" si="22">F73*((D73)^(1/K73))</f>
        <v>17799.547386327104</v>
      </c>
      <c r="M73">
        <f t="shared" ref="M73:M78" si="23">POWER(B73,1/K73)</f>
        <v>0.31509144482213219</v>
      </c>
      <c r="N73">
        <f t="shared" ref="N73:N78" si="24">L73/M73</f>
        <v>56490.10050518786</v>
      </c>
      <c r="O73">
        <v>2894000</v>
      </c>
      <c r="P73">
        <f>O73*(K73/(1-K73))*POWER(L73,K73)*(-1)*POWER(N73,1-K73)</f>
        <v>96386244.17808491</v>
      </c>
      <c r="Q73">
        <f t="shared" ref="Q73:Q78" si="25">B73*O73</f>
        <v>1447</v>
      </c>
      <c r="R73">
        <f t="shared" ref="R73:R78" si="26">P73/Q73</f>
        <v>66611.087890867246</v>
      </c>
      <c r="S73">
        <f t="shared" ref="S73:S78" si="27">26.6582278481013*P73</f>
        <v>2569486458.722115</v>
      </c>
    </row>
    <row r="74" spans="1:21" ht="15" x14ac:dyDescent="0.25">
      <c r="A74" t="s">
        <v>91</v>
      </c>
      <c r="B74" s="6">
        <v>1E-3</v>
      </c>
      <c r="C74">
        <v>3.362591009257924E-4</v>
      </c>
      <c r="D74">
        <v>1.1163591266493095E-3</v>
      </c>
      <c r="E74">
        <v>60000</v>
      </c>
      <c r="F74">
        <v>50000</v>
      </c>
      <c r="G74">
        <f t="shared" si="17"/>
        <v>3.3199372851938782</v>
      </c>
      <c r="H74">
        <f t="shared" si="18"/>
        <v>1.199945892748135</v>
      </c>
      <c r="I74">
        <f t="shared" si="19"/>
        <v>1.2</v>
      </c>
      <c r="J74">
        <f t="shared" si="20"/>
        <v>0.18232155679395459</v>
      </c>
      <c r="K74">
        <f t="shared" si="21"/>
        <v>6.5814811690326831</v>
      </c>
      <c r="L74">
        <f t="shared" si="22"/>
        <v>17799.547386327104</v>
      </c>
      <c r="M74">
        <f t="shared" si="23"/>
        <v>0.35008665421318907</v>
      </c>
      <c r="N74">
        <f t="shared" si="24"/>
        <v>50843.26172424692</v>
      </c>
      <c r="O74">
        <v>2894000</v>
      </c>
      <c r="P74">
        <f>O74*(K74/(1-K74))*POWER(L74,K74)*(POWER(N73,1-K74)-POWER(N74,1-K74))+P73</f>
        <v>173502648.97877201</v>
      </c>
      <c r="Q74">
        <f t="shared" si="25"/>
        <v>2894</v>
      </c>
      <c r="R74">
        <f t="shared" si="26"/>
        <v>59952.539384510026</v>
      </c>
      <c r="S74">
        <f t="shared" si="27"/>
        <v>4625273148.7252445</v>
      </c>
    </row>
    <row r="75" spans="1:21" ht="15" x14ac:dyDescent="0.25">
      <c r="A75" t="s">
        <v>92</v>
      </c>
      <c r="B75" s="6">
        <v>2.5000000000000001E-3</v>
      </c>
      <c r="C75">
        <f>S60/100</f>
        <v>1.8570047371580093E-3</v>
      </c>
      <c r="D75">
        <f>S59/100</f>
        <v>3.2992149789307563E-3</v>
      </c>
      <c r="E75">
        <v>40000</v>
      </c>
      <c r="F75">
        <v>30000</v>
      </c>
      <c r="G75">
        <f t="shared" si="17"/>
        <v>1.7766325055152683</v>
      </c>
      <c r="H75">
        <f t="shared" si="18"/>
        <v>0.57471972165983742</v>
      </c>
      <c r="I75">
        <f t="shared" si="19"/>
        <v>1.3333333333333333</v>
      </c>
      <c r="J75">
        <f t="shared" si="20"/>
        <v>0.28768207245178085</v>
      </c>
      <c r="K75">
        <f t="shared" si="21"/>
        <v>1.997759946463705</v>
      </c>
      <c r="L75">
        <f t="shared" si="22"/>
        <v>1717.6524012557497</v>
      </c>
      <c r="M75">
        <f t="shared" si="23"/>
        <v>4.9832328638126311E-2</v>
      </c>
      <c r="N75">
        <f t="shared" si="24"/>
        <v>34468.636088211773</v>
      </c>
      <c r="O75">
        <v>2894000</v>
      </c>
      <c r="P75">
        <f t="shared" ref="P75:P78" si="28">O75*(K75/(1-K75))*POWER(L75,K75)*(POWER(N74,1-K75)-POWER(N75,1-K75))+P74</f>
        <v>334019554.42695808</v>
      </c>
      <c r="Q75">
        <f t="shared" si="25"/>
        <v>7235</v>
      </c>
      <c r="R75">
        <f t="shared" si="26"/>
        <v>46167.180985066771</v>
      </c>
      <c r="S75">
        <f t="shared" si="27"/>
        <v>8904369387.6351223</v>
      </c>
    </row>
    <row r="76" spans="1:21" ht="15" x14ac:dyDescent="0.25">
      <c r="A76" t="s">
        <v>95</v>
      </c>
      <c r="B76" s="6">
        <v>5.0000000000000001E-3</v>
      </c>
      <c r="C76">
        <f>S58/100</f>
        <v>4.3560219744178683E-3</v>
      </c>
      <c r="D76">
        <f>S57/100</f>
        <v>6.3636543435178338E-3</v>
      </c>
      <c r="E76">
        <v>25000</v>
      </c>
      <c r="F76">
        <v>20000</v>
      </c>
      <c r="G76">
        <f t="shared" si="17"/>
        <v>1.4608866486189529</v>
      </c>
      <c r="H76">
        <f t="shared" si="18"/>
        <v>0.37904354496675119</v>
      </c>
      <c r="I76">
        <f t="shared" si="19"/>
        <v>1.25</v>
      </c>
      <c r="J76">
        <f t="shared" si="20"/>
        <v>0.22314355131420976</v>
      </c>
      <c r="K76">
        <f t="shared" si="21"/>
        <v>1.6986533679076288</v>
      </c>
      <c r="L76">
        <f t="shared" si="22"/>
        <v>1018.7520340673908</v>
      </c>
      <c r="M76">
        <f t="shared" si="23"/>
        <v>4.4195688067372861E-2</v>
      </c>
      <c r="N76">
        <f t="shared" si="24"/>
        <v>23050.937288596644</v>
      </c>
      <c r="O76">
        <v>2894000</v>
      </c>
      <c r="P76">
        <f t="shared" si="28"/>
        <v>532742436.69843996</v>
      </c>
      <c r="Q76">
        <f t="shared" si="25"/>
        <v>14470</v>
      </c>
      <c r="R76">
        <f t="shared" si="26"/>
        <v>36817.030870659291</v>
      </c>
      <c r="S76">
        <f t="shared" si="27"/>
        <v>14201969261.859697</v>
      </c>
    </row>
    <row r="77" spans="1:21" ht="15" x14ac:dyDescent="0.25">
      <c r="A77" t="s">
        <v>98</v>
      </c>
      <c r="B77" s="6">
        <v>0.01</v>
      </c>
      <c r="C77">
        <f>S57/100</f>
        <v>6.3636543435178338E-3</v>
      </c>
      <c r="D77">
        <f>S56/100</f>
        <v>1.0001874506043375E-2</v>
      </c>
      <c r="E77">
        <v>20000</v>
      </c>
      <c r="F77">
        <v>15000</v>
      </c>
      <c r="G77">
        <f t="shared" si="17"/>
        <v>1.5717186959143241</v>
      </c>
      <c r="H77">
        <f t="shared" si="18"/>
        <v>0.45216973137477151</v>
      </c>
      <c r="I77">
        <f t="shared" si="19"/>
        <v>1.3333333333333333</v>
      </c>
      <c r="J77">
        <f t="shared" si="20"/>
        <v>0.28768207245178085</v>
      </c>
      <c r="K77">
        <f t="shared" si="21"/>
        <v>1.5717688889027344</v>
      </c>
      <c r="L77">
        <f t="shared" si="22"/>
        <v>801.10851001470462</v>
      </c>
      <c r="M77">
        <f t="shared" si="23"/>
        <v>5.3400865581720351E-2</v>
      </c>
      <c r="N77">
        <f t="shared" si="24"/>
        <v>15001.788852818372</v>
      </c>
      <c r="O77">
        <v>2894000</v>
      </c>
      <c r="P77">
        <f t="shared" si="28"/>
        <v>792633464.27486598</v>
      </c>
      <c r="Q77">
        <f t="shared" si="25"/>
        <v>28940</v>
      </c>
      <c r="R77">
        <f t="shared" si="26"/>
        <v>27388.855019864062</v>
      </c>
      <c r="S77">
        <f t="shared" si="27"/>
        <v>21130203490.669239</v>
      </c>
    </row>
    <row r="78" spans="1:21" ht="15" x14ac:dyDescent="0.25">
      <c r="A78" t="s">
        <v>96</v>
      </c>
      <c r="B78" s="6">
        <v>0.02</v>
      </c>
      <c r="C78">
        <f>S56/100</f>
        <v>1.0001874506043375E-2</v>
      </c>
      <c r="D78">
        <f>S55/100</f>
        <v>2.1736691761992569E-2</v>
      </c>
      <c r="E78">
        <v>15000</v>
      </c>
      <c r="F78">
        <v>10000</v>
      </c>
      <c r="G78">
        <f t="shared" si="17"/>
        <v>2.1732617969620329</v>
      </c>
      <c r="H78">
        <f t="shared" si="18"/>
        <v>0.77622917122045765</v>
      </c>
      <c r="I78">
        <f t="shared" si="19"/>
        <v>1.5</v>
      </c>
      <c r="J78">
        <f t="shared" si="20"/>
        <v>0.40546510810816438</v>
      </c>
      <c r="K78">
        <f t="shared" si="21"/>
        <v>1.9144166925786028</v>
      </c>
      <c r="L78">
        <f t="shared" si="22"/>
        <v>1353.4092487386968</v>
      </c>
      <c r="M78">
        <f t="shared" si="23"/>
        <v>0.12958032872509057</v>
      </c>
      <c r="N78">
        <f t="shared" si="24"/>
        <v>10444.557920593057</v>
      </c>
      <c r="O78">
        <v>2894000</v>
      </c>
      <c r="P78">
        <f t="shared" si="28"/>
        <v>1149375450.8749576</v>
      </c>
      <c r="Q78">
        <f t="shared" si="25"/>
        <v>57880</v>
      </c>
      <c r="R78">
        <f t="shared" si="26"/>
        <v>19857.903435987519</v>
      </c>
      <c r="S78">
        <f t="shared" si="27"/>
        <v>30640312652.438782</v>
      </c>
    </row>
    <row r="81" spans="1:6" ht="15" x14ac:dyDescent="0.25">
      <c r="A81" s="15" t="s">
        <v>60</v>
      </c>
      <c r="B81" s="16"/>
    </row>
    <row r="82" spans="1:6" ht="15" x14ac:dyDescent="0.25">
      <c r="A82" s="2" t="s">
        <v>61</v>
      </c>
    </row>
    <row r="84" spans="1:6" ht="15" x14ac:dyDescent="0.25">
      <c r="A84" s="2" t="s">
        <v>27</v>
      </c>
      <c r="B84" s="2" t="s">
        <v>62</v>
      </c>
      <c r="C84" s="2" t="s">
        <v>134</v>
      </c>
      <c r="D84" s="17"/>
      <c r="E84" s="17"/>
      <c r="F84" s="2" t="s">
        <v>63</v>
      </c>
    </row>
    <row r="85" spans="1:6" x14ac:dyDescent="0.2">
      <c r="A85" s="18">
        <v>5.0000000000000001E-4</v>
      </c>
      <c r="B85">
        <f t="shared" ref="B85:B90" si="29">S32+S73</f>
        <v>8501309964.7343254</v>
      </c>
      <c r="C85">
        <v>564252241379.30969</v>
      </c>
      <c r="F85">
        <f>B85/C85*100</f>
        <v>1.5066506326945104</v>
      </c>
    </row>
    <row r="86" spans="1:6" x14ac:dyDescent="0.2">
      <c r="A86" s="18">
        <v>1E-3</v>
      </c>
      <c r="B86">
        <f t="shared" si="29"/>
        <v>13899292455.069771</v>
      </c>
      <c r="C86">
        <v>564252241379.30969</v>
      </c>
      <c r="F86">
        <f t="shared" ref="F86:F90" si="30">B86/C86*100</f>
        <v>2.4633118729122052</v>
      </c>
    </row>
    <row r="87" spans="1:6" x14ac:dyDescent="0.2">
      <c r="A87" s="18">
        <v>2.5000000000000001E-3</v>
      </c>
      <c r="B87">
        <f t="shared" si="29"/>
        <v>25411533966.280018</v>
      </c>
      <c r="C87">
        <v>564252241379.30969</v>
      </c>
      <c r="F87">
        <f t="shared" si="30"/>
        <v>4.5035769648272455</v>
      </c>
    </row>
    <row r="88" spans="1:6" x14ac:dyDescent="0.2">
      <c r="A88" s="18">
        <v>5.0000000000000001E-3</v>
      </c>
      <c r="B88">
        <f t="shared" si="29"/>
        <v>39703297850.784431</v>
      </c>
      <c r="C88">
        <v>564252241379.30969</v>
      </c>
      <c r="F88">
        <f t="shared" si="30"/>
        <v>7.0364448626256344</v>
      </c>
    </row>
    <row r="89" spans="1:6" x14ac:dyDescent="0.2">
      <c r="A89" s="19">
        <v>0.01</v>
      </c>
      <c r="B89">
        <f t="shared" si="29"/>
        <v>60415422910.452698</v>
      </c>
      <c r="C89">
        <v>564252241379.30969</v>
      </c>
      <c r="F89">
        <f t="shared" si="30"/>
        <v>10.707165781524894</v>
      </c>
    </row>
    <row r="90" spans="1:6" x14ac:dyDescent="0.2">
      <c r="A90" s="19">
        <v>0.02</v>
      </c>
      <c r="B90">
        <f t="shared" si="29"/>
        <v>90662854110.732788</v>
      </c>
      <c r="C90">
        <v>564252241379.30969</v>
      </c>
      <c r="F90">
        <f t="shared" si="30"/>
        <v>16.06778803201707</v>
      </c>
    </row>
  </sheetData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opLeftCell="A2" workbookViewId="0">
      <selection activeCell="E17" sqref="E17"/>
    </sheetView>
  </sheetViews>
  <sheetFormatPr defaultRowHeight="12.75" x14ac:dyDescent="0.2"/>
  <cols>
    <col min="1" max="1" width="15.85546875" customWidth="1"/>
    <col min="2" max="2" width="14.42578125" customWidth="1"/>
    <col min="3" max="3" width="26.5703125" customWidth="1"/>
    <col min="4" max="4" width="22.140625" customWidth="1"/>
    <col min="5" max="5" width="17.42578125" customWidth="1"/>
    <col min="9" max="9" width="11" bestFit="1" customWidth="1"/>
  </cols>
  <sheetData>
    <row r="1" spans="1:5" ht="15.75" x14ac:dyDescent="0.25">
      <c r="A1" s="29" t="s">
        <v>102</v>
      </c>
      <c r="B1" s="29"/>
      <c r="C1" s="27"/>
      <c r="D1" s="27"/>
      <c r="E1" s="27"/>
    </row>
    <row r="2" spans="1:5" x14ac:dyDescent="0.2">
      <c r="A2" s="27"/>
      <c r="B2" s="27"/>
      <c r="C2" s="27"/>
      <c r="D2" s="27"/>
      <c r="E2" s="27"/>
    </row>
    <row r="3" spans="1:5" x14ac:dyDescent="0.2">
      <c r="A3" s="27" t="s">
        <v>103</v>
      </c>
      <c r="B3" s="27" t="s">
        <v>106</v>
      </c>
      <c r="C3" s="27" t="s">
        <v>62</v>
      </c>
      <c r="D3" s="27" t="s">
        <v>105</v>
      </c>
      <c r="E3" s="27" t="s">
        <v>104</v>
      </c>
    </row>
    <row r="4" spans="1:5" x14ac:dyDescent="0.2">
      <c r="A4" s="18">
        <v>1E-3</v>
      </c>
      <c r="B4" s="30">
        <v>5134707</v>
      </c>
      <c r="C4" s="3"/>
    </row>
    <row r="5" spans="1:5" x14ac:dyDescent="0.2">
      <c r="A5" s="18">
        <v>5.0000000000000001E-3</v>
      </c>
      <c r="B5" s="30">
        <v>5134707</v>
      </c>
      <c r="C5" s="3"/>
    </row>
    <row r="6" spans="1:5" x14ac:dyDescent="0.2">
      <c r="A6" s="19">
        <v>0.01</v>
      </c>
      <c r="B6" s="30">
        <v>5134707</v>
      </c>
      <c r="C6" s="3"/>
      <c r="E6">
        <v>17.77</v>
      </c>
    </row>
    <row r="7" spans="1:5" x14ac:dyDescent="0.2">
      <c r="A7" s="19">
        <v>0.05</v>
      </c>
      <c r="B7" s="3">
        <v>1418734</v>
      </c>
      <c r="E7">
        <v>32.99</v>
      </c>
    </row>
    <row r="8" spans="1:5" x14ac:dyDescent="0.2">
      <c r="A8" s="19">
        <v>0.1</v>
      </c>
      <c r="B8" s="3">
        <v>970247</v>
      </c>
      <c r="E8">
        <v>45.49</v>
      </c>
    </row>
    <row r="12" spans="1:5" ht="15" x14ac:dyDescent="0.25">
      <c r="A12" s="39" t="s">
        <v>121</v>
      </c>
    </row>
    <row r="14" spans="1:5" x14ac:dyDescent="0.2">
      <c r="A14" s="27" t="s">
        <v>103</v>
      </c>
      <c r="B14" t="s">
        <v>106</v>
      </c>
      <c r="C14" t="s">
        <v>62</v>
      </c>
      <c r="D14" t="s">
        <v>108</v>
      </c>
      <c r="E14" s="27" t="s">
        <v>104</v>
      </c>
    </row>
    <row r="15" spans="1:5" x14ac:dyDescent="0.2">
      <c r="A15" s="18">
        <v>1E-3</v>
      </c>
      <c r="B15">
        <v>6989600</v>
      </c>
      <c r="C15">
        <v>362435901.0266</v>
      </c>
      <c r="D15">
        <v>8152787302.2236004</v>
      </c>
      <c r="E15">
        <f>C15/D15*100</f>
        <v>4.4455458923569466</v>
      </c>
    </row>
    <row r="16" spans="1:5" x14ac:dyDescent="0.2">
      <c r="A16" s="18">
        <v>5.0000000000000001E-3</v>
      </c>
      <c r="B16">
        <v>4236000</v>
      </c>
      <c r="C16">
        <f>462689296.393+C15</f>
        <v>825125197.41960001</v>
      </c>
      <c r="D16">
        <v>8152787302.2236004</v>
      </c>
      <c r="E16">
        <f>C16/D16*100</f>
        <v>10.120774243608126</v>
      </c>
    </row>
    <row r="17" spans="1:5" x14ac:dyDescent="0.2">
      <c r="A17" s="19">
        <v>0.01</v>
      </c>
      <c r="B17">
        <v>3436996</v>
      </c>
      <c r="E17">
        <v>18.48</v>
      </c>
    </row>
    <row r="18" spans="1:5" x14ac:dyDescent="0.2">
      <c r="A18" s="19">
        <v>0.05</v>
      </c>
      <c r="B18">
        <v>1420266</v>
      </c>
      <c r="E18">
        <v>33.76</v>
      </c>
    </row>
    <row r="19" spans="1:5" x14ac:dyDescent="0.2">
      <c r="A19" s="19">
        <v>0.1</v>
      </c>
      <c r="B19">
        <v>985625</v>
      </c>
      <c r="E19">
        <v>46.14</v>
      </c>
    </row>
  </sheetData>
  <pageMargins left="0.7" right="0.7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E18" sqref="E18"/>
    </sheetView>
  </sheetViews>
  <sheetFormatPr defaultRowHeight="12.75" x14ac:dyDescent="0.2"/>
  <cols>
    <col min="1" max="1" width="16.140625" customWidth="1"/>
    <col min="2" max="2" width="10.5703125" customWidth="1"/>
    <col min="3" max="3" width="26.5703125" customWidth="1"/>
    <col min="4" max="4" width="15.140625" customWidth="1"/>
    <col min="5" max="5" width="16.7109375" customWidth="1"/>
  </cols>
  <sheetData>
    <row r="1" spans="1:5" ht="15.75" x14ac:dyDescent="0.25">
      <c r="A1" s="29" t="s">
        <v>109</v>
      </c>
      <c r="B1" s="29"/>
      <c r="C1" s="27"/>
      <c r="D1" s="27"/>
      <c r="E1" s="27"/>
    </row>
    <row r="2" spans="1:5" x14ac:dyDescent="0.2">
      <c r="A2" s="27"/>
      <c r="B2" s="27"/>
      <c r="C2" s="27"/>
      <c r="D2" s="27"/>
      <c r="E2" s="27"/>
    </row>
    <row r="3" spans="1:5" x14ac:dyDescent="0.2">
      <c r="A3" s="27" t="s">
        <v>103</v>
      </c>
      <c r="B3" s="27" t="s">
        <v>106</v>
      </c>
      <c r="C3" s="27" t="s">
        <v>62</v>
      </c>
      <c r="D3" s="27" t="s">
        <v>108</v>
      </c>
      <c r="E3" s="27" t="s">
        <v>104</v>
      </c>
    </row>
    <row r="4" spans="1:5" x14ac:dyDescent="0.2">
      <c r="A4" s="18">
        <v>1E-3</v>
      </c>
      <c r="B4" s="32">
        <v>8830457</v>
      </c>
    </row>
    <row r="5" spans="1:5" x14ac:dyDescent="0.2">
      <c r="A5" s="18">
        <v>5.0000000000000001E-3</v>
      </c>
      <c r="B5" s="32">
        <v>8830457</v>
      </c>
      <c r="C5">
        <v>1227433523</v>
      </c>
      <c r="D5">
        <f>11944669343.07+C5</f>
        <v>13172102866.07</v>
      </c>
      <c r="E5">
        <f>C5/D5*100</f>
        <v>9.3184325652492745</v>
      </c>
    </row>
    <row r="6" spans="1:5" x14ac:dyDescent="0.2">
      <c r="A6" s="19">
        <v>0.01</v>
      </c>
      <c r="B6">
        <v>5376500</v>
      </c>
      <c r="E6">
        <v>11.02</v>
      </c>
    </row>
    <row r="7" spans="1:5" x14ac:dyDescent="0.2">
      <c r="A7" s="19">
        <v>0.05</v>
      </c>
      <c r="B7">
        <v>2509223</v>
      </c>
      <c r="E7">
        <v>33.03</v>
      </c>
    </row>
    <row r="8" spans="1:5" x14ac:dyDescent="0.2">
      <c r="A8" s="19">
        <v>0.1</v>
      </c>
      <c r="B8">
        <v>1652000</v>
      </c>
      <c r="E8">
        <v>45.35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A62" zoomScale="90" zoomScaleNormal="90" workbookViewId="0">
      <selection activeCell="F88" sqref="F88"/>
    </sheetView>
  </sheetViews>
  <sheetFormatPr defaultRowHeight="12.75" x14ac:dyDescent="0.2"/>
  <cols>
    <col min="1" max="1" width="15.85546875" customWidth="1"/>
    <col min="2" max="2" width="11.85546875" customWidth="1"/>
    <col min="3" max="5" width="10" customWidth="1"/>
    <col min="6" max="7" width="9.5703125" customWidth="1"/>
    <col min="8" max="9" width="10" customWidth="1"/>
    <col min="10" max="13" width="11" customWidth="1"/>
    <col min="15" max="15" width="14.5703125" customWidth="1"/>
    <col min="16" max="16" width="12.28515625" customWidth="1"/>
    <col min="17" max="17" width="11.5703125" customWidth="1"/>
    <col min="18" max="18" width="12.28515625" customWidth="1"/>
    <col min="19" max="19" width="12" customWidth="1"/>
    <col min="20" max="20" width="11.85546875" customWidth="1"/>
    <col min="21" max="21" width="12.140625" customWidth="1"/>
    <col min="22" max="22" width="11.42578125" customWidth="1"/>
    <col min="23" max="23" width="21.28515625" customWidth="1"/>
    <col min="24" max="24" width="12.855468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6" spans="1:19" x14ac:dyDescent="0.2">
      <c r="A6" t="s">
        <v>0</v>
      </c>
      <c r="B6" t="s">
        <v>1</v>
      </c>
      <c r="C6" t="s">
        <v>19</v>
      </c>
      <c r="D6" t="s">
        <v>5</v>
      </c>
      <c r="E6" t="s">
        <v>19</v>
      </c>
      <c r="F6" t="s">
        <v>6</v>
      </c>
      <c r="G6" t="s">
        <v>19</v>
      </c>
      <c r="H6" t="s">
        <v>7</v>
      </c>
      <c r="I6" t="s">
        <v>19</v>
      </c>
      <c r="J6" t="s">
        <v>8</v>
      </c>
      <c r="K6" t="s">
        <v>19</v>
      </c>
      <c r="L6" t="s">
        <v>9</v>
      </c>
      <c r="M6" t="s">
        <v>19</v>
      </c>
      <c r="N6" t="s">
        <v>2</v>
      </c>
      <c r="O6" t="s">
        <v>19</v>
      </c>
      <c r="P6" t="s">
        <v>20</v>
      </c>
      <c r="Q6" t="s">
        <v>21</v>
      </c>
      <c r="R6" t="s">
        <v>22</v>
      </c>
      <c r="S6" t="s">
        <v>23</v>
      </c>
    </row>
    <row r="7" spans="1:19" x14ac:dyDescent="0.2">
      <c r="A7">
        <v>1001</v>
      </c>
      <c r="B7">
        <v>4</v>
      </c>
      <c r="C7">
        <v>830.36773428232493</v>
      </c>
      <c r="D7">
        <v>6</v>
      </c>
      <c r="E7">
        <v>681.9288845591816</v>
      </c>
      <c r="F7">
        <v>5</v>
      </c>
      <c r="G7">
        <v>293.31657238633977</v>
      </c>
      <c r="H7">
        <v>9</v>
      </c>
      <c r="I7">
        <v>103.0169242089772</v>
      </c>
      <c r="J7">
        <v>21</v>
      </c>
      <c r="K7">
        <v>40.349309738594116</v>
      </c>
      <c r="L7">
        <v>9</v>
      </c>
      <c r="M7">
        <v>17.073378943645654</v>
      </c>
      <c r="N7">
        <v>5</v>
      </c>
      <c r="O7">
        <v>2.0086659588510427</v>
      </c>
      <c r="P7">
        <f>(B7*C7)+(D7*E7)+(F7*G7)+(H7*I7)+(J7*K7)+(L7*M7)+(N7*O7)</f>
        <v>10817.818669094424</v>
      </c>
    </row>
    <row r="8" spans="1:19" x14ac:dyDescent="0.2">
      <c r="A8">
        <v>2001</v>
      </c>
      <c r="B8">
        <v>14</v>
      </c>
      <c r="C8">
        <v>830.36773428232493</v>
      </c>
      <c r="D8">
        <v>22</v>
      </c>
      <c r="E8">
        <v>681.9288845591816</v>
      </c>
      <c r="F8">
        <v>28</v>
      </c>
      <c r="G8">
        <v>293.31657238633977</v>
      </c>
      <c r="H8">
        <v>50</v>
      </c>
      <c r="I8">
        <v>103.0169242089772</v>
      </c>
      <c r="J8">
        <v>99</v>
      </c>
      <c r="K8">
        <v>40.349309738594116</v>
      </c>
      <c r="L8">
        <v>80</v>
      </c>
      <c r="M8">
        <v>17.073378943645654</v>
      </c>
      <c r="N8">
        <v>55</v>
      </c>
      <c r="O8">
        <v>2.0086659588510427</v>
      </c>
      <c r="P8">
        <f t="shared" ref="P8:P22" si="0">(B8*C8)+(D8*E8)+(F8*G8)+(H8*I8)+(J8*K8)+(L8*M8)+(N8*O8)</f>
        <v>45462.222584870193</v>
      </c>
    </row>
    <row r="9" spans="1:19" x14ac:dyDescent="0.2">
      <c r="A9">
        <v>3001</v>
      </c>
      <c r="B9">
        <v>12</v>
      </c>
      <c r="C9">
        <v>830.36773428232493</v>
      </c>
      <c r="D9">
        <v>14</v>
      </c>
      <c r="E9">
        <v>681.9288845591816</v>
      </c>
      <c r="F9">
        <v>19</v>
      </c>
      <c r="G9">
        <v>293.31657238633977</v>
      </c>
      <c r="H9">
        <v>55</v>
      </c>
      <c r="I9">
        <v>103.0169242089772</v>
      </c>
      <c r="J9">
        <v>99</v>
      </c>
      <c r="K9">
        <v>40.349309738594116</v>
      </c>
      <c r="L9">
        <v>105</v>
      </c>
      <c r="M9">
        <v>17.073378943645654</v>
      </c>
      <c r="N9">
        <v>77</v>
      </c>
      <c r="O9">
        <v>2.0086659588510427</v>
      </c>
      <c r="P9">
        <f t="shared" si="0"/>
        <v>36692.316634085786</v>
      </c>
    </row>
    <row r="10" spans="1:19" x14ac:dyDescent="0.2">
      <c r="A10">
        <v>4001</v>
      </c>
      <c r="B10">
        <v>10</v>
      </c>
      <c r="C10">
        <v>830.36773428232493</v>
      </c>
      <c r="D10">
        <v>17</v>
      </c>
      <c r="E10">
        <v>681.9288845591816</v>
      </c>
      <c r="F10">
        <v>31</v>
      </c>
      <c r="G10">
        <v>293.31657238633977</v>
      </c>
      <c r="H10">
        <v>46</v>
      </c>
      <c r="I10">
        <v>103.0169242089772</v>
      </c>
      <c r="J10">
        <v>83</v>
      </c>
      <c r="K10">
        <v>40.349309738594116</v>
      </c>
      <c r="L10">
        <v>61</v>
      </c>
      <c r="M10">
        <v>17.073378943645654</v>
      </c>
      <c r="N10">
        <v>62</v>
      </c>
      <c r="O10">
        <v>2.0086659588510427</v>
      </c>
      <c r="P10">
        <f t="shared" si="0"/>
        <v>38243.066751233288</v>
      </c>
    </row>
    <row r="11" spans="1:19" x14ac:dyDescent="0.2">
      <c r="A11">
        <v>5001</v>
      </c>
      <c r="B11">
        <v>10</v>
      </c>
      <c r="C11">
        <v>830.36773428232493</v>
      </c>
      <c r="D11">
        <v>42</v>
      </c>
      <c r="E11">
        <v>681.9288845591816</v>
      </c>
      <c r="F11">
        <v>149</v>
      </c>
      <c r="G11">
        <v>293.31657238633977</v>
      </c>
      <c r="H11">
        <v>393</v>
      </c>
      <c r="I11">
        <v>103.0169242089772</v>
      </c>
      <c r="J11">
        <v>793</v>
      </c>
      <c r="K11">
        <v>40.349309738594116</v>
      </c>
      <c r="L11">
        <v>745</v>
      </c>
      <c r="M11">
        <v>17.073378943645654</v>
      </c>
      <c r="N11">
        <v>475</v>
      </c>
      <c r="O11">
        <v>2.0086659588510427</v>
      </c>
      <c r="P11">
        <f t="shared" si="0"/>
        <v>166805.29726017694</v>
      </c>
    </row>
    <row r="12" spans="1:19" x14ac:dyDescent="0.2">
      <c r="A12">
        <v>10001</v>
      </c>
      <c r="B12">
        <v>6</v>
      </c>
      <c r="C12">
        <v>830.36773428232493</v>
      </c>
      <c r="D12">
        <v>24</v>
      </c>
      <c r="E12">
        <v>681.9288845591816</v>
      </c>
      <c r="F12">
        <v>65</v>
      </c>
      <c r="G12">
        <v>293.31657238633977</v>
      </c>
      <c r="H12">
        <v>182</v>
      </c>
      <c r="I12">
        <v>103.0169242089772</v>
      </c>
      <c r="J12">
        <v>319</v>
      </c>
      <c r="K12">
        <v>40.349309738594116</v>
      </c>
      <c r="L12">
        <v>324</v>
      </c>
      <c r="M12">
        <v>17.073378943645654</v>
      </c>
      <c r="N12">
        <v>243</v>
      </c>
      <c r="O12">
        <v>2.0086659588510427</v>
      </c>
      <c r="P12">
        <f t="shared" si="0"/>
        <v>78054.467458613741</v>
      </c>
      <c r="Q12" s="3">
        <f>P12+Q13</f>
        <v>182201.03550602507</v>
      </c>
      <c r="R12">
        <v>2977200</v>
      </c>
      <c r="S12">
        <f>Q12/R12*100</f>
        <v>6.1198789300693628</v>
      </c>
    </row>
    <row r="13" spans="1:19" x14ac:dyDescent="0.2">
      <c r="A13">
        <v>15001</v>
      </c>
      <c r="B13">
        <v>2</v>
      </c>
      <c r="C13">
        <v>830.36773428232493</v>
      </c>
      <c r="D13">
        <v>4</v>
      </c>
      <c r="E13">
        <v>681.9288845591816</v>
      </c>
      <c r="F13">
        <v>34</v>
      </c>
      <c r="G13">
        <v>293.31657238633977</v>
      </c>
      <c r="H13">
        <v>93</v>
      </c>
      <c r="I13">
        <v>103.0169242089772</v>
      </c>
      <c r="J13">
        <v>192</v>
      </c>
      <c r="K13">
        <v>40.349309738594116</v>
      </c>
      <c r="L13">
        <v>186</v>
      </c>
      <c r="M13">
        <v>17.073378943645654</v>
      </c>
      <c r="N13">
        <v>143</v>
      </c>
      <c r="O13">
        <v>2.0086659588510427</v>
      </c>
      <c r="P13">
        <f t="shared" si="0"/>
        <v>35151.743604815667</v>
      </c>
      <c r="Q13" s="3">
        <f>P13+Q14</f>
        <v>104146.56804741133</v>
      </c>
      <c r="R13">
        <v>2977200</v>
      </c>
      <c r="S13">
        <f t="shared" ref="S13:S21" si="1">Q13/R13*100</f>
        <v>3.4981381179434146</v>
      </c>
    </row>
    <row r="14" spans="1:19" x14ac:dyDescent="0.2">
      <c r="A14">
        <v>20001</v>
      </c>
      <c r="B14">
        <v>2</v>
      </c>
      <c r="C14">
        <v>830.36773428232493</v>
      </c>
      <c r="E14">
        <v>681.9288845591816</v>
      </c>
      <c r="F14">
        <v>19</v>
      </c>
      <c r="G14">
        <v>293.31657238633977</v>
      </c>
      <c r="H14">
        <v>45</v>
      </c>
      <c r="I14">
        <v>103.0169242089772</v>
      </c>
      <c r="J14">
        <v>104</v>
      </c>
      <c r="K14">
        <v>40.349309738594116</v>
      </c>
      <c r="L14">
        <v>112</v>
      </c>
      <c r="M14">
        <v>17.073378943645654</v>
      </c>
      <c r="N14">
        <v>83</v>
      </c>
      <c r="O14">
        <v>2.0086659588510427</v>
      </c>
      <c r="P14">
        <f t="shared" si="0"/>
        <v>18144.777862395818</v>
      </c>
      <c r="Q14" s="3">
        <f>P14+Q15</f>
        <v>68994.824442595665</v>
      </c>
      <c r="R14">
        <v>2977200</v>
      </c>
      <c r="S14">
        <f t="shared" si="1"/>
        <v>2.317440025614526</v>
      </c>
    </row>
    <row r="15" spans="1:19" x14ac:dyDescent="0.2">
      <c r="A15">
        <v>25001</v>
      </c>
      <c r="B15">
        <v>1</v>
      </c>
      <c r="C15">
        <v>830.36773428232493</v>
      </c>
      <c r="D15">
        <v>3</v>
      </c>
      <c r="E15">
        <v>681.9288845591816</v>
      </c>
      <c r="F15">
        <v>11</v>
      </c>
      <c r="G15">
        <v>293.31657238633977</v>
      </c>
      <c r="H15">
        <v>38</v>
      </c>
      <c r="I15">
        <v>103.0169242089772</v>
      </c>
      <c r="J15">
        <v>96</v>
      </c>
      <c r="K15">
        <v>40.349309738594116</v>
      </c>
      <c r="L15">
        <v>65</v>
      </c>
      <c r="M15">
        <v>17.073378943645654</v>
      </c>
      <c r="N15">
        <v>63</v>
      </c>
      <c r="O15">
        <v>2.0086659588510427</v>
      </c>
      <c r="P15">
        <f t="shared" si="0"/>
        <v>15127.129125800358</v>
      </c>
      <c r="Q15" s="3">
        <f>P15+Q16</f>
        <v>50850.046580199851</v>
      </c>
      <c r="R15">
        <v>2977200</v>
      </c>
      <c r="S15">
        <f t="shared" si="1"/>
        <v>1.70798221752653</v>
      </c>
    </row>
    <row r="16" spans="1:19" x14ac:dyDescent="0.2">
      <c r="A16">
        <v>30001</v>
      </c>
      <c r="C16">
        <v>830.36773428232493</v>
      </c>
      <c r="D16">
        <v>5</v>
      </c>
      <c r="E16">
        <v>681.9288845591816</v>
      </c>
      <c r="F16">
        <v>11</v>
      </c>
      <c r="G16">
        <v>293.31657238633977</v>
      </c>
      <c r="H16">
        <v>39</v>
      </c>
      <c r="I16">
        <v>103.0169242089772</v>
      </c>
      <c r="J16">
        <v>102</v>
      </c>
      <c r="K16">
        <v>40.349309738594116</v>
      </c>
      <c r="L16">
        <v>89</v>
      </c>
      <c r="M16">
        <v>17.073378943645654</v>
      </c>
      <c r="N16">
        <v>58</v>
      </c>
      <c r="O16">
        <v>2.0086659588510427</v>
      </c>
      <c r="P16">
        <f t="shared" si="0"/>
        <v>16405.449708130178</v>
      </c>
      <c r="Q16" s="3">
        <f>P16+Q17</f>
        <v>35722.917454399489</v>
      </c>
      <c r="R16">
        <v>2977200</v>
      </c>
      <c r="S16">
        <f t="shared" si="1"/>
        <v>1.1998830261453544</v>
      </c>
    </row>
    <row r="17" spans="1:21" x14ac:dyDescent="0.2">
      <c r="A17">
        <v>40001</v>
      </c>
      <c r="C17">
        <v>830.36773428232493</v>
      </c>
      <c r="D17">
        <v>2</v>
      </c>
      <c r="E17">
        <v>681.9288845591816</v>
      </c>
      <c r="F17">
        <v>11</v>
      </c>
      <c r="G17">
        <v>293.31657238633977</v>
      </c>
      <c r="H17">
        <v>21</v>
      </c>
      <c r="I17">
        <v>103.0169242089772</v>
      </c>
      <c r="J17">
        <v>46</v>
      </c>
      <c r="K17">
        <v>40.349309738594116</v>
      </c>
      <c r="L17">
        <v>55</v>
      </c>
      <c r="M17">
        <v>17.073378943645654</v>
      </c>
      <c r="N17">
        <v>34</v>
      </c>
      <c r="O17">
        <v>2.0086659588510427</v>
      </c>
      <c r="P17">
        <f t="shared" si="0"/>
        <v>9617.0942062333961</v>
      </c>
      <c r="Q17" s="3">
        <f>P17+P18+P19+P20+P21</f>
        <v>19317.467746269314</v>
      </c>
      <c r="R17">
        <v>2977200</v>
      </c>
      <c r="S17">
        <f t="shared" si="1"/>
        <v>0.64884682743078448</v>
      </c>
    </row>
    <row r="18" spans="1:21" x14ac:dyDescent="0.2">
      <c r="A18">
        <v>50001</v>
      </c>
      <c r="C18">
        <v>830.36773428232493</v>
      </c>
      <c r="E18">
        <v>681.9288845591816</v>
      </c>
      <c r="F18">
        <v>5</v>
      </c>
      <c r="G18">
        <v>293.31657238633977</v>
      </c>
      <c r="H18">
        <v>8</v>
      </c>
      <c r="I18">
        <v>103.0169242089772</v>
      </c>
      <c r="J18">
        <v>30</v>
      </c>
      <c r="K18">
        <v>40.349309738594116</v>
      </c>
      <c r="L18">
        <v>31</v>
      </c>
      <c r="M18">
        <v>17.073378943645654</v>
      </c>
      <c r="N18">
        <v>26</v>
      </c>
      <c r="O18">
        <v>2.0086659588510427</v>
      </c>
      <c r="P18">
        <f t="shared" si="0"/>
        <v>4082.6976099444832</v>
      </c>
      <c r="Q18" s="3">
        <f>P18+P19+P20+P21</f>
        <v>9700.3735400359183</v>
      </c>
      <c r="R18">
        <v>2977200</v>
      </c>
      <c r="S18">
        <f t="shared" si="1"/>
        <v>0.32582203211191446</v>
      </c>
    </row>
    <row r="19" spans="1:21" x14ac:dyDescent="0.2">
      <c r="A19">
        <v>60001</v>
      </c>
      <c r="C19">
        <v>830.36773428232493</v>
      </c>
      <c r="E19">
        <v>681.9288845591816</v>
      </c>
      <c r="F19">
        <v>3</v>
      </c>
      <c r="G19">
        <v>293.31657238633977</v>
      </c>
      <c r="H19">
        <v>6</v>
      </c>
      <c r="I19">
        <v>103.0169242089772</v>
      </c>
      <c r="J19">
        <v>9</v>
      </c>
      <c r="K19">
        <v>40.349309738594116</v>
      </c>
      <c r="L19">
        <v>20</v>
      </c>
      <c r="M19">
        <v>17.073378943645654</v>
      </c>
      <c r="N19">
        <v>16</v>
      </c>
      <c r="O19">
        <v>2.0086659588510427</v>
      </c>
      <c r="P19">
        <f t="shared" si="0"/>
        <v>2234.8012842747594</v>
      </c>
      <c r="Q19" s="3">
        <f>P20+P19+P21</f>
        <v>5617.6759300914346</v>
      </c>
      <c r="R19">
        <v>2977200</v>
      </c>
      <c r="S19">
        <f t="shared" si="1"/>
        <v>0.18868990763440263</v>
      </c>
    </row>
    <row r="20" spans="1:21" x14ac:dyDescent="0.2">
      <c r="A20">
        <v>70001</v>
      </c>
      <c r="C20">
        <v>830.36773428232493</v>
      </c>
      <c r="E20">
        <v>681.9288845591816</v>
      </c>
      <c r="F20">
        <v>2</v>
      </c>
      <c r="G20">
        <v>293.31657238633977</v>
      </c>
      <c r="H20">
        <v>5</v>
      </c>
      <c r="I20">
        <v>103.0169242089772</v>
      </c>
      <c r="J20">
        <v>11</v>
      </c>
      <c r="K20">
        <v>40.349309738594116</v>
      </c>
      <c r="L20">
        <v>17</v>
      </c>
      <c r="M20">
        <v>17.073378943645654</v>
      </c>
      <c r="N20">
        <v>17</v>
      </c>
      <c r="O20">
        <v>2.0086659588510427</v>
      </c>
      <c r="P20">
        <f t="shared" si="0"/>
        <v>1869.9549362845448</v>
      </c>
      <c r="Q20" s="3">
        <f>P21+P20</f>
        <v>3382.8746458166752</v>
      </c>
      <c r="R20">
        <v>2977200</v>
      </c>
      <c r="S20">
        <f t="shared" si="1"/>
        <v>0.11362604614458804</v>
      </c>
    </row>
    <row r="21" spans="1:21" x14ac:dyDescent="0.2">
      <c r="A21" t="s">
        <v>16</v>
      </c>
      <c r="C21">
        <v>830.36773428232493</v>
      </c>
      <c r="E21">
        <v>681.9288845591816</v>
      </c>
      <c r="F21">
        <v>1</v>
      </c>
      <c r="G21">
        <v>293.31657238633977</v>
      </c>
      <c r="H21">
        <v>3</v>
      </c>
      <c r="I21">
        <v>103.0169242089772</v>
      </c>
      <c r="J21">
        <v>15</v>
      </c>
      <c r="K21">
        <v>40.349309738594116</v>
      </c>
      <c r="L21">
        <v>16</v>
      </c>
      <c r="M21">
        <v>17.073378943645654</v>
      </c>
      <c r="N21">
        <v>16</v>
      </c>
      <c r="O21">
        <v>2.0086659588510427</v>
      </c>
      <c r="P21">
        <f t="shared" si="0"/>
        <v>1512.9197095321301</v>
      </c>
      <c r="Q21" s="3">
        <f>P21</f>
        <v>1512.9197095321301</v>
      </c>
      <c r="R21">
        <v>2977200</v>
      </c>
      <c r="S21">
        <f t="shared" si="1"/>
        <v>5.0816865159617426E-2</v>
      </c>
    </row>
    <row r="22" spans="1:21" x14ac:dyDescent="0.2">
      <c r="A22" t="s">
        <v>3</v>
      </c>
      <c r="B22">
        <f t="shared" ref="B22:N22" si="2">SUM(B7:B21)</f>
        <v>61</v>
      </c>
      <c r="C22">
        <v>830.36773428232493</v>
      </c>
      <c r="D22">
        <f t="shared" si="2"/>
        <v>139</v>
      </c>
      <c r="E22">
        <v>681.9288845591816</v>
      </c>
      <c r="F22">
        <f t="shared" si="2"/>
        <v>394</v>
      </c>
      <c r="G22">
        <v>293.31657238633977</v>
      </c>
      <c r="H22">
        <f t="shared" si="2"/>
        <v>993</v>
      </c>
      <c r="I22">
        <v>103.0169242089772</v>
      </c>
      <c r="J22">
        <f t="shared" si="2"/>
        <v>2019</v>
      </c>
      <c r="K22">
        <v>40.349309738594116</v>
      </c>
      <c r="L22">
        <f t="shared" si="2"/>
        <v>1915</v>
      </c>
      <c r="M22">
        <v>17.073378943645654</v>
      </c>
      <c r="N22">
        <f t="shared" si="2"/>
        <v>1373</v>
      </c>
      <c r="O22">
        <v>2.0086659588510427</v>
      </c>
      <c r="P22">
        <f t="shared" si="0"/>
        <v>480221.75740548578</v>
      </c>
    </row>
    <row r="26" spans="1:21" x14ac:dyDescent="0.2">
      <c r="A26" t="s">
        <v>15</v>
      </c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t="s">
        <v>26</v>
      </c>
      <c r="B31" s="2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41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t="s">
        <v>16</v>
      </c>
      <c r="B32" s="6">
        <v>5.0000000000000001E-4</v>
      </c>
      <c r="C32" s="27" t="s">
        <v>87</v>
      </c>
      <c r="K32">
        <v>2.256072321043098</v>
      </c>
      <c r="L32">
        <v>3466.9207235798126</v>
      </c>
      <c r="M32">
        <f t="shared" ref="M32:M37" si="3">POWER(B32,1/K32)</f>
        <v>3.4421071822430767E-2</v>
      </c>
      <c r="N32">
        <f t="shared" ref="N32:N37" si="4">L32/M32</f>
        <v>100720.88229747006</v>
      </c>
      <c r="O32">
        <v>2977200</v>
      </c>
      <c r="P32">
        <f>O32*(K32/(1-K32))*POWER(L32,K32)*(-1)*POWER(N32,1-K32)</f>
        <v>269299723.75557947</v>
      </c>
      <c r="Q32">
        <f t="shared" ref="Q32:Q37" si="5">B32*O32</f>
        <v>1488.6000000000001</v>
      </c>
      <c r="R32">
        <f t="shared" ref="R32:R37" si="6">P32/Q32</f>
        <v>180908.05035306962</v>
      </c>
      <c r="S32">
        <f t="shared" ref="S32:S37" si="7">26.2669322709163*P32</f>
        <v>7073677604.4642754</v>
      </c>
    </row>
    <row r="33" spans="1:19" ht="15" x14ac:dyDescent="0.25">
      <c r="A33" t="s">
        <v>90</v>
      </c>
      <c r="B33" s="6">
        <v>1E-3</v>
      </c>
      <c r="C33">
        <f>S21/100</f>
        <v>5.0816865159617429E-4</v>
      </c>
      <c r="D33">
        <f>S20/100</f>
        <v>1.1362604614458805E-3</v>
      </c>
      <c r="E33">
        <v>100000</v>
      </c>
      <c r="F33">
        <v>70000</v>
      </c>
      <c r="G33">
        <f>D33/C33</f>
        <v>2.2359908622400249</v>
      </c>
      <c r="H33">
        <f>LN(G33)</f>
        <v>0.80468446862977283</v>
      </c>
      <c r="I33">
        <f>E33/F33</f>
        <v>1.4285714285714286</v>
      </c>
      <c r="J33">
        <f>LN(I33)</f>
        <v>0.35667494393873239</v>
      </c>
      <c r="K33">
        <f>H33/J33</f>
        <v>2.256072321043098</v>
      </c>
      <c r="L33">
        <f>F33*((D33)^(1/K33))</f>
        <v>3466.9207235798126</v>
      </c>
      <c r="M33">
        <f t="shared" si="3"/>
        <v>4.6801028134261825E-2</v>
      </c>
      <c r="N33">
        <f t="shared" si="4"/>
        <v>74077.875247398028</v>
      </c>
      <c r="O33">
        <v>2977200</v>
      </c>
      <c r="P33">
        <f>O33*(K33/(1-K33))*POWER(L33,K33)*(POWER(N32,1-K33)-POWER(N33,1-K33))+P32</f>
        <v>396127414.40462178</v>
      </c>
      <c r="Q33">
        <f t="shared" si="5"/>
        <v>2977.2000000000003</v>
      </c>
      <c r="R33">
        <f t="shared" si="6"/>
        <v>133053.67943188961</v>
      </c>
      <c r="S33">
        <f t="shared" si="7"/>
        <v>10405051964.819395</v>
      </c>
    </row>
    <row r="34" spans="1:19" ht="15" x14ac:dyDescent="0.25">
      <c r="A34" t="s">
        <v>91</v>
      </c>
      <c r="B34" s="6">
        <v>2.5000000000000001E-3</v>
      </c>
      <c r="C34">
        <f>S19/100</f>
        <v>1.8868990763440264E-3</v>
      </c>
      <c r="D34">
        <f>S18/100</f>
        <v>3.2582203211191448E-3</v>
      </c>
      <c r="E34">
        <v>60000</v>
      </c>
      <c r="F34">
        <v>50000</v>
      </c>
      <c r="G34">
        <f>D34/C34</f>
        <v>1.7267591902329671</v>
      </c>
      <c r="H34">
        <f>LN(G34)</f>
        <v>0.54624635124466103</v>
      </c>
      <c r="I34">
        <f>E34/F34</f>
        <v>1.2</v>
      </c>
      <c r="J34">
        <f>LN(I34)</f>
        <v>0.18232155679395459</v>
      </c>
      <c r="K34">
        <f>H34/J34</f>
        <v>2.9960601524590178</v>
      </c>
      <c r="L34">
        <f>F34*((D34)^(1/K34))</f>
        <v>7393.8959645454288</v>
      </c>
      <c r="M34">
        <f t="shared" si="3"/>
        <v>0.13536490776928117</v>
      </c>
      <c r="N34">
        <f t="shared" si="4"/>
        <v>54621.955471263958</v>
      </c>
      <c r="O34">
        <v>2977200</v>
      </c>
      <c r="P34">
        <f t="shared" ref="P34:P37" si="8">O34*(K34/(1-K34))*POWER(L34,K34)*(POWER(N33,1-K34)-POWER(N34,1-K34))+P33</f>
        <v>674177403.1336503</v>
      </c>
      <c r="Q34">
        <f t="shared" si="5"/>
        <v>7443</v>
      </c>
      <c r="R34">
        <f t="shared" si="6"/>
        <v>90578.718679786412</v>
      </c>
      <c r="S34">
        <f t="shared" si="7"/>
        <v>17708572186.693829</v>
      </c>
    </row>
    <row r="35" spans="1:19" ht="15" x14ac:dyDescent="0.25">
      <c r="A35" t="s">
        <v>94</v>
      </c>
      <c r="B35" s="6">
        <v>5.0000000000000001E-3</v>
      </c>
      <c r="C35">
        <f>S18/100</f>
        <v>3.2582203211191448E-3</v>
      </c>
      <c r="D35">
        <f>S17/100</f>
        <v>6.4884682743078445E-3</v>
      </c>
      <c r="E35">
        <v>50000</v>
      </c>
      <c r="F35">
        <v>40000</v>
      </c>
      <c r="G35">
        <f>D35/C35</f>
        <v>1.9914148322784884</v>
      </c>
      <c r="H35">
        <f>LN(G35)</f>
        <v>0.6888453571104689</v>
      </c>
      <c r="I35">
        <f>E35/F35</f>
        <v>1.25</v>
      </c>
      <c r="J35">
        <f>LN(I35)</f>
        <v>0.22314355131420976</v>
      </c>
      <c r="K35">
        <f>H35/J35</f>
        <v>3.0870054413560069</v>
      </c>
      <c r="L35">
        <f>F35*((D35)^(1/K35))</f>
        <v>7822.1934171421381</v>
      </c>
      <c r="M35">
        <f t="shared" si="3"/>
        <v>0.17972468424401322</v>
      </c>
      <c r="N35">
        <f t="shared" si="4"/>
        <v>43523.20022174529</v>
      </c>
      <c r="O35">
        <v>2977200</v>
      </c>
      <c r="P35">
        <f t="shared" si="8"/>
        <v>1035965522.4232943</v>
      </c>
      <c r="Q35">
        <f t="shared" si="5"/>
        <v>14886</v>
      </c>
      <c r="R35">
        <f t="shared" si="6"/>
        <v>69593.277067264164</v>
      </c>
      <c r="S35">
        <f t="shared" si="7"/>
        <v>27211636212.497093</v>
      </c>
    </row>
    <row r="36" spans="1:19" ht="15" x14ac:dyDescent="0.25">
      <c r="A36" t="s">
        <v>92</v>
      </c>
      <c r="B36" s="6">
        <v>0.01</v>
      </c>
      <c r="C36">
        <f>S17/100</f>
        <v>6.4884682743078445E-3</v>
      </c>
      <c r="D36">
        <f>S16/100</f>
        <v>1.1998830261453543E-2</v>
      </c>
      <c r="E36">
        <v>40000</v>
      </c>
      <c r="F36">
        <v>30000</v>
      </c>
      <c r="G36">
        <f>D36/C36</f>
        <v>1.8492546706230932</v>
      </c>
      <c r="H36">
        <f>LN(G36)</f>
        <v>0.61478267716770829</v>
      </c>
      <c r="I36">
        <f>E36/F36</f>
        <v>1.3333333333333333</v>
      </c>
      <c r="J36">
        <f>LN(I36)</f>
        <v>0.28768207245178085</v>
      </c>
      <c r="K36">
        <f>H36/J36</f>
        <v>2.1370211634260028</v>
      </c>
      <c r="L36">
        <f>F36*((D36)^(1/K36))</f>
        <v>3786.7918495432878</v>
      </c>
      <c r="M36">
        <f t="shared" si="3"/>
        <v>0.11590917955658918</v>
      </c>
      <c r="N36">
        <f t="shared" si="4"/>
        <v>32670.336068546669</v>
      </c>
      <c r="O36">
        <v>2977200</v>
      </c>
      <c r="P36">
        <f t="shared" si="8"/>
        <v>1544704539.3984087</v>
      </c>
      <c r="Q36">
        <f t="shared" si="5"/>
        <v>29772</v>
      </c>
      <c r="R36">
        <f t="shared" si="6"/>
        <v>51884.473310439629</v>
      </c>
      <c r="S36">
        <f t="shared" si="7"/>
        <v>40574649514.954956</v>
      </c>
    </row>
    <row r="37" spans="1:19" ht="15" x14ac:dyDescent="0.25">
      <c r="A37" t="s">
        <v>95</v>
      </c>
      <c r="B37" s="6">
        <v>0.02</v>
      </c>
      <c r="C37">
        <f>S15/100</f>
        <v>1.70798221752653E-2</v>
      </c>
      <c r="D37">
        <f>S14/100</f>
        <v>2.3174400256145259E-2</v>
      </c>
      <c r="E37">
        <v>25000</v>
      </c>
      <c r="F37">
        <v>20000</v>
      </c>
      <c r="G37">
        <f>D37/C37</f>
        <v>1.3568291296209172</v>
      </c>
      <c r="H37">
        <f>LN(G37)</f>
        <v>0.30515045518007744</v>
      </c>
      <c r="I37">
        <f>E37/F37</f>
        <v>1.25</v>
      </c>
      <c r="J37">
        <f>LN(I37)</f>
        <v>0.22314355131420976</v>
      </c>
      <c r="K37">
        <f>H37/J37</f>
        <v>1.3675073887768026</v>
      </c>
      <c r="L37">
        <f>F37*((D37)^(1/K37))</f>
        <v>1274.7653275591251</v>
      </c>
      <c r="M37">
        <f t="shared" si="3"/>
        <v>5.7228911377272818E-2</v>
      </c>
      <c r="N37">
        <f t="shared" si="4"/>
        <v>22274.84844426675</v>
      </c>
      <c r="O37">
        <v>2977200</v>
      </c>
      <c r="P37">
        <f t="shared" si="8"/>
        <v>2192719310.8912077</v>
      </c>
      <c r="Q37">
        <f t="shared" si="5"/>
        <v>59544</v>
      </c>
      <c r="R37">
        <f t="shared" si="6"/>
        <v>36825.193317399026</v>
      </c>
      <c r="S37">
        <f t="shared" si="7"/>
        <v>57596009628.309616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1001</v>
      </c>
      <c r="B50">
        <v>1</v>
      </c>
      <c r="C50">
        <v>2137.4045801526718</v>
      </c>
      <c r="D50">
        <v>3</v>
      </c>
      <c r="E50">
        <v>1056.6037735849056</v>
      </c>
      <c r="F50">
        <v>7</v>
      </c>
      <c r="G50">
        <v>427.48091603053427</v>
      </c>
      <c r="H50">
        <v>20</v>
      </c>
      <c r="I50">
        <v>189.54779312212293</v>
      </c>
      <c r="J50">
        <v>24</v>
      </c>
      <c r="K50">
        <v>72.295378259746968</v>
      </c>
      <c r="L50">
        <v>27</v>
      </c>
      <c r="M50">
        <v>25.321950513673851</v>
      </c>
      <c r="N50">
        <v>9</v>
      </c>
      <c r="O50">
        <v>3.8307683073653136</v>
      </c>
      <c r="P50">
        <f>(B50*C50)+(D50*E50)+(F50*G50)+(H50*I50)+(J50*K50)+(L50*M50)+(N50*O50)</f>
        <v>14543.796832432998</v>
      </c>
    </row>
    <row r="51" spans="1:19" x14ac:dyDescent="0.2">
      <c r="A51">
        <v>2001</v>
      </c>
      <c r="B51">
        <v>1</v>
      </c>
      <c r="C51">
        <v>2137.4045801526718</v>
      </c>
      <c r="D51">
        <v>4</v>
      </c>
      <c r="E51">
        <v>1056.6037735849056</v>
      </c>
      <c r="F51">
        <v>22</v>
      </c>
      <c r="G51">
        <v>427.48091603053427</v>
      </c>
      <c r="H51">
        <v>39</v>
      </c>
      <c r="I51">
        <v>189.54779312212293</v>
      </c>
      <c r="J51">
        <v>66</v>
      </c>
      <c r="K51">
        <v>72.295378259746968</v>
      </c>
      <c r="L51">
        <v>106</v>
      </c>
      <c r="M51">
        <v>25.321950513673851</v>
      </c>
      <c r="N51">
        <v>108</v>
      </c>
      <c r="O51">
        <v>3.8307683073653136</v>
      </c>
      <c r="P51">
        <f t="shared" ref="P51:P65" si="9">(B51*C51)+(D51*E51)+(F51*G51)+(H51*I51)+(J51*K51)+(L51*M51)+(N51*O51)</f>
        <v>31030.108455715024</v>
      </c>
    </row>
    <row r="52" spans="1:19" x14ac:dyDescent="0.2">
      <c r="A52">
        <v>3001</v>
      </c>
      <c r="B52">
        <v>1</v>
      </c>
      <c r="C52">
        <v>2137.4045801526718</v>
      </c>
      <c r="D52">
        <v>2</v>
      </c>
      <c r="E52">
        <v>1056.6037735849056</v>
      </c>
      <c r="F52">
        <v>16</v>
      </c>
      <c r="G52">
        <v>427.48091603053427</v>
      </c>
      <c r="H52">
        <v>38</v>
      </c>
      <c r="I52">
        <v>189.54779312212293</v>
      </c>
      <c r="J52">
        <v>90</v>
      </c>
      <c r="K52">
        <v>72.295378259746968</v>
      </c>
      <c r="L52">
        <v>131</v>
      </c>
      <c r="M52">
        <v>25.321950513673851</v>
      </c>
      <c r="N52">
        <v>145</v>
      </c>
      <c r="O52">
        <v>3.8307683073653136</v>
      </c>
      <c r="P52">
        <f t="shared" si="9"/>
        <v>28672.343887688177</v>
      </c>
    </row>
    <row r="53" spans="1:19" x14ac:dyDescent="0.2">
      <c r="A53">
        <v>4001</v>
      </c>
      <c r="B53">
        <v>0</v>
      </c>
      <c r="C53">
        <v>2137.4045801526718</v>
      </c>
      <c r="D53">
        <v>4</v>
      </c>
      <c r="E53">
        <v>1056.6037735849056</v>
      </c>
      <c r="F53">
        <v>9</v>
      </c>
      <c r="G53">
        <v>427.48091603053427</v>
      </c>
      <c r="H53">
        <v>25</v>
      </c>
      <c r="I53">
        <v>189.54779312212293</v>
      </c>
      <c r="J53">
        <v>66</v>
      </c>
      <c r="K53">
        <v>72.295378259746968</v>
      </c>
      <c r="L53">
        <v>93</v>
      </c>
      <c r="M53">
        <v>25.321950513673851</v>
      </c>
      <c r="N53">
        <v>104</v>
      </c>
      <c r="O53">
        <v>3.8307683073653136</v>
      </c>
      <c r="P53">
        <f t="shared" si="9"/>
        <v>20337.274433548464</v>
      </c>
    </row>
    <row r="54" spans="1:19" x14ac:dyDescent="0.2">
      <c r="A54">
        <v>5001</v>
      </c>
      <c r="B54">
        <v>2</v>
      </c>
      <c r="C54">
        <v>2137.4045801526718</v>
      </c>
      <c r="D54">
        <v>11</v>
      </c>
      <c r="E54">
        <v>1056.6037735849056</v>
      </c>
      <c r="F54">
        <v>35</v>
      </c>
      <c r="G54">
        <v>427.48091603053427</v>
      </c>
      <c r="H54">
        <v>126</v>
      </c>
      <c r="I54">
        <v>189.54779312212293</v>
      </c>
      <c r="J54">
        <v>329</v>
      </c>
      <c r="K54">
        <v>72.295378259746968</v>
      </c>
      <c r="L54">
        <v>472</v>
      </c>
      <c r="M54">
        <v>25.321950513673851</v>
      </c>
      <c r="N54">
        <v>504</v>
      </c>
      <c r="O54">
        <v>3.8307683073653136</v>
      </c>
      <c r="P54">
        <f t="shared" si="9"/>
        <v>92410.151981018411</v>
      </c>
    </row>
    <row r="55" spans="1:19" x14ac:dyDescent="0.2">
      <c r="A55">
        <v>10001</v>
      </c>
      <c r="B55">
        <v>0</v>
      </c>
      <c r="C55">
        <v>2137.4045801526718</v>
      </c>
      <c r="D55">
        <v>2</v>
      </c>
      <c r="E55">
        <v>1056.6037735849056</v>
      </c>
      <c r="F55">
        <v>15</v>
      </c>
      <c r="G55">
        <v>427.48091603053427</v>
      </c>
      <c r="H55">
        <v>39</v>
      </c>
      <c r="I55">
        <v>189.54779312212293</v>
      </c>
      <c r="J55">
        <v>106</v>
      </c>
      <c r="K55">
        <v>72.295378259746968</v>
      </c>
      <c r="L55">
        <v>167</v>
      </c>
      <c r="M55">
        <v>25.321950513673851</v>
      </c>
      <c r="N55">
        <v>155</v>
      </c>
      <c r="O55">
        <v>3.8307683073653136</v>
      </c>
      <c r="P55">
        <f t="shared" si="9"/>
        <v>28403.630138348955</v>
      </c>
      <c r="Q55" s="3">
        <f>P55+Q56</f>
        <v>59785.473926189588</v>
      </c>
      <c r="R55">
        <v>2937600</v>
      </c>
      <c r="S55">
        <f>Q55/R55*100</f>
        <v>2.0351808934568898</v>
      </c>
    </row>
    <row r="56" spans="1:19" x14ac:dyDescent="0.2">
      <c r="A56">
        <v>15001</v>
      </c>
      <c r="B56">
        <v>0</v>
      </c>
      <c r="C56">
        <v>2137.4045801526718</v>
      </c>
      <c r="D56">
        <v>1</v>
      </c>
      <c r="E56">
        <v>1056.6037735849056</v>
      </c>
      <c r="F56">
        <v>5</v>
      </c>
      <c r="G56">
        <v>427.48091603053427</v>
      </c>
      <c r="H56">
        <v>13</v>
      </c>
      <c r="I56">
        <v>189.54779312212293</v>
      </c>
      <c r="J56">
        <v>39</v>
      </c>
      <c r="K56">
        <v>72.295378259746968</v>
      </c>
      <c r="L56">
        <v>76</v>
      </c>
      <c r="M56">
        <v>25.321950513673851</v>
      </c>
      <c r="N56">
        <v>89</v>
      </c>
      <c r="O56">
        <v>3.8307683073653136</v>
      </c>
      <c r="P56">
        <f t="shared" si="9"/>
        <v>10743.056034850033</v>
      </c>
      <c r="Q56" s="3">
        <f>P56+Q57</f>
        <v>31381.843787840629</v>
      </c>
      <c r="R56">
        <v>2937600</v>
      </c>
      <c r="S56">
        <f t="shared" ref="S56:S64" si="10">Q56/R56*100</f>
        <v>1.06828171935732</v>
      </c>
    </row>
    <row r="57" spans="1:19" x14ac:dyDescent="0.2">
      <c r="A57">
        <v>20001</v>
      </c>
      <c r="B57">
        <v>0</v>
      </c>
      <c r="C57">
        <v>2137.4045801526718</v>
      </c>
      <c r="D57">
        <v>0</v>
      </c>
      <c r="E57">
        <v>1056.6037735849056</v>
      </c>
      <c r="F57">
        <v>3</v>
      </c>
      <c r="G57">
        <v>427.48091603053427</v>
      </c>
      <c r="H57">
        <v>7</v>
      </c>
      <c r="I57">
        <v>189.54779312212293</v>
      </c>
      <c r="J57">
        <v>29</v>
      </c>
      <c r="K57">
        <v>72.295378259746968</v>
      </c>
      <c r="L57">
        <v>46</v>
      </c>
      <c r="M57">
        <v>25.321950513673851</v>
      </c>
      <c r="N57">
        <v>38</v>
      </c>
      <c r="O57">
        <v>3.8307683073653136</v>
      </c>
      <c r="P57">
        <f t="shared" si="9"/>
        <v>6016.2221887880041</v>
      </c>
      <c r="Q57" s="3">
        <f>P57+Q58</f>
        <v>20638.787752990596</v>
      </c>
      <c r="R57">
        <v>2937600</v>
      </c>
      <c r="S57">
        <f t="shared" si="10"/>
        <v>0.70257311250648813</v>
      </c>
    </row>
    <row r="58" spans="1:19" x14ac:dyDescent="0.2">
      <c r="A58">
        <v>25001</v>
      </c>
      <c r="B58">
        <v>0</v>
      </c>
      <c r="C58">
        <v>2137.4045801526718</v>
      </c>
      <c r="D58">
        <v>0</v>
      </c>
      <c r="E58">
        <v>1056.6037735849056</v>
      </c>
      <c r="F58">
        <v>2</v>
      </c>
      <c r="G58">
        <v>427.48091603053427</v>
      </c>
      <c r="H58">
        <v>7</v>
      </c>
      <c r="I58">
        <v>189.54779312212293</v>
      </c>
      <c r="J58">
        <v>14</v>
      </c>
      <c r="K58">
        <v>72.295378259746968</v>
      </c>
      <c r="L58">
        <v>17</v>
      </c>
      <c r="M58">
        <v>25.321950513673851</v>
      </c>
      <c r="N58">
        <v>26</v>
      </c>
      <c r="O58">
        <v>3.8307683073653136</v>
      </c>
      <c r="P58">
        <f t="shared" si="9"/>
        <v>3724.0048142763399</v>
      </c>
      <c r="Q58" s="3">
        <f>P58+Q59</f>
        <v>14622.565564202592</v>
      </c>
      <c r="R58">
        <v>2937600</v>
      </c>
      <c r="S58">
        <f t="shared" si="10"/>
        <v>0.49777252056789872</v>
      </c>
    </row>
    <row r="59" spans="1:19" x14ac:dyDescent="0.2">
      <c r="A59">
        <v>30001</v>
      </c>
      <c r="B59">
        <v>0</v>
      </c>
      <c r="C59">
        <v>2137.4045801526718</v>
      </c>
      <c r="D59">
        <v>0</v>
      </c>
      <c r="E59">
        <v>1056.6037735849056</v>
      </c>
      <c r="F59">
        <v>2</v>
      </c>
      <c r="G59">
        <v>427.48091603053427</v>
      </c>
      <c r="H59">
        <v>11</v>
      </c>
      <c r="I59">
        <v>189.54779312212293</v>
      </c>
      <c r="J59">
        <v>15</v>
      </c>
      <c r="K59">
        <v>72.295378259746968</v>
      </c>
      <c r="L59">
        <v>29</v>
      </c>
      <c r="M59">
        <v>25.321950513673851</v>
      </c>
      <c r="N59">
        <v>23</v>
      </c>
      <c r="O59">
        <v>3.8307683073653136</v>
      </c>
      <c r="P59">
        <f t="shared" si="9"/>
        <v>4846.8624662665688</v>
      </c>
      <c r="Q59" s="3">
        <f>P59+Q60</f>
        <v>10898.560749926251</v>
      </c>
      <c r="R59">
        <v>2937600</v>
      </c>
      <c r="S59">
        <f t="shared" si="10"/>
        <v>0.37100220417777269</v>
      </c>
    </row>
    <row r="60" spans="1:19" x14ac:dyDescent="0.2">
      <c r="A60">
        <v>40001</v>
      </c>
      <c r="B60">
        <v>0</v>
      </c>
      <c r="C60">
        <v>2137.4045801526718</v>
      </c>
      <c r="D60">
        <v>0</v>
      </c>
      <c r="E60">
        <v>1056.6037735849056</v>
      </c>
      <c r="F60">
        <v>2</v>
      </c>
      <c r="G60">
        <v>427.48091603053427</v>
      </c>
      <c r="H60">
        <v>4</v>
      </c>
      <c r="I60">
        <v>189.54779312212293</v>
      </c>
      <c r="J60">
        <v>11</v>
      </c>
      <c r="K60">
        <v>72.295378259746968</v>
      </c>
      <c r="L60">
        <v>17</v>
      </c>
      <c r="M60">
        <v>25.321950513673851</v>
      </c>
      <c r="N60">
        <v>16</v>
      </c>
      <c r="O60">
        <v>3.8307683073653136</v>
      </c>
      <c r="P60">
        <f t="shared" si="9"/>
        <v>2900.1676170570772</v>
      </c>
      <c r="Q60" s="3">
        <f>P60+P61+P62+P63+P64</f>
        <v>6051.6982836596835</v>
      </c>
      <c r="R60">
        <v>2937600</v>
      </c>
      <c r="S60">
        <f t="shared" si="10"/>
        <v>0.20600824767360035</v>
      </c>
    </row>
    <row r="61" spans="1:19" x14ac:dyDescent="0.2">
      <c r="A61">
        <v>50001</v>
      </c>
      <c r="B61">
        <v>0</v>
      </c>
      <c r="C61">
        <v>2137.4045801526718</v>
      </c>
      <c r="D61">
        <v>0</v>
      </c>
      <c r="E61">
        <v>1056.6037735849056</v>
      </c>
      <c r="F61">
        <v>1</v>
      </c>
      <c r="G61">
        <v>427.48091603053427</v>
      </c>
      <c r="H61">
        <v>1</v>
      </c>
      <c r="I61">
        <v>189.54779312212293</v>
      </c>
      <c r="J61">
        <v>4</v>
      </c>
      <c r="K61">
        <v>72.295378259746968</v>
      </c>
      <c r="L61">
        <v>7</v>
      </c>
      <c r="M61">
        <v>25.321950513673851</v>
      </c>
      <c r="N61">
        <v>10</v>
      </c>
      <c r="O61">
        <v>3.8307683073653136</v>
      </c>
      <c r="P61">
        <f t="shared" si="9"/>
        <v>1121.7715588610154</v>
      </c>
      <c r="Q61" s="3">
        <f>P61+P62+P63+P64</f>
        <v>3151.5306666026063</v>
      </c>
      <c r="R61">
        <v>2937600</v>
      </c>
      <c r="S61">
        <f t="shared" si="10"/>
        <v>0.10728249818227825</v>
      </c>
    </row>
    <row r="62" spans="1:19" x14ac:dyDescent="0.2">
      <c r="A62">
        <v>60001</v>
      </c>
      <c r="B62">
        <v>0</v>
      </c>
      <c r="C62">
        <v>2137.4045801526718</v>
      </c>
      <c r="D62">
        <v>0</v>
      </c>
      <c r="E62">
        <v>1056.6037735849056</v>
      </c>
      <c r="F62">
        <v>0</v>
      </c>
      <c r="G62">
        <v>427.48091603053427</v>
      </c>
      <c r="H62">
        <v>0</v>
      </c>
      <c r="I62">
        <v>189.54779312212293</v>
      </c>
      <c r="J62">
        <v>2</v>
      </c>
      <c r="K62">
        <v>72.295378259746968</v>
      </c>
      <c r="L62">
        <v>4</v>
      </c>
      <c r="M62">
        <v>25.321950513673851</v>
      </c>
      <c r="N62">
        <v>6</v>
      </c>
      <c r="O62">
        <v>3.8307683073653136</v>
      </c>
      <c r="P62">
        <f t="shared" si="9"/>
        <v>268.86316841838124</v>
      </c>
      <c r="Q62" s="3">
        <f>P63+P62+P64</f>
        <v>2029.7591077415907</v>
      </c>
      <c r="R62">
        <v>2937600</v>
      </c>
      <c r="S62">
        <f t="shared" si="10"/>
        <v>6.9095830192728441E-2</v>
      </c>
    </row>
    <row r="63" spans="1:19" x14ac:dyDescent="0.2">
      <c r="A63">
        <v>70001</v>
      </c>
      <c r="B63">
        <v>0</v>
      </c>
      <c r="C63">
        <v>2137.4045801526718</v>
      </c>
      <c r="D63">
        <v>0</v>
      </c>
      <c r="E63">
        <v>1056.6037735849056</v>
      </c>
      <c r="F63">
        <v>0</v>
      </c>
      <c r="G63">
        <v>427.48091603053427</v>
      </c>
      <c r="H63">
        <v>1</v>
      </c>
      <c r="I63">
        <v>189.54779312212293</v>
      </c>
      <c r="J63">
        <v>3</v>
      </c>
      <c r="K63">
        <v>72.295378259746968</v>
      </c>
      <c r="L63">
        <v>5</v>
      </c>
      <c r="M63">
        <v>25.321950513673851</v>
      </c>
      <c r="N63">
        <v>3</v>
      </c>
      <c r="O63">
        <v>3.8307683073653136</v>
      </c>
      <c r="P63">
        <f t="shared" si="9"/>
        <v>544.53598539182906</v>
      </c>
      <c r="Q63" s="3">
        <f>P64+P63</f>
        <v>1760.8959393232094</v>
      </c>
      <c r="R63">
        <v>2937600</v>
      </c>
      <c r="S63">
        <f t="shared" si="10"/>
        <v>5.994335305430315E-2</v>
      </c>
    </row>
    <row r="64" spans="1:19" x14ac:dyDescent="0.2">
      <c r="A64" t="s">
        <v>16</v>
      </c>
      <c r="B64">
        <v>0</v>
      </c>
      <c r="C64">
        <v>2137.4045801526718</v>
      </c>
      <c r="D64">
        <v>0</v>
      </c>
      <c r="E64">
        <v>1056.6037735849056</v>
      </c>
      <c r="F64">
        <v>1</v>
      </c>
      <c r="G64">
        <v>427.48091603053427</v>
      </c>
      <c r="H64">
        <v>2</v>
      </c>
      <c r="I64">
        <v>189.54779312212293</v>
      </c>
      <c r="J64">
        <v>5</v>
      </c>
      <c r="K64">
        <v>72.295378259746968</v>
      </c>
      <c r="L64">
        <v>1</v>
      </c>
      <c r="M64">
        <v>25.321950513673851</v>
      </c>
      <c r="N64">
        <v>6</v>
      </c>
      <c r="O64">
        <v>3.8307683073653136</v>
      </c>
      <c r="P64">
        <f t="shared" si="9"/>
        <v>1216.3599539313805</v>
      </c>
      <c r="Q64" s="3">
        <f>P64</f>
        <v>1216.3599539313805</v>
      </c>
      <c r="R64">
        <v>2937600</v>
      </c>
      <c r="S64">
        <f t="shared" si="10"/>
        <v>4.1406588845703314E-2</v>
      </c>
    </row>
    <row r="65" spans="1:21" x14ac:dyDescent="0.2">
      <c r="A65" t="s">
        <v>3</v>
      </c>
      <c r="B65">
        <v>5</v>
      </c>
      <c r="C65">
        <v>2137.4045801526718</v>
      </c>
      <c r="D65">
        <v>27</v>
      </c>
      <c r="E65">
        <v>1056.6037735849056</v>
      </c>
      <c r="F65">
        <v>120</v>
      </c>
      <c r="G65">
        <v>427.48091603053427</v>
      </c>
      <c r="H65">
        <v>333</v>
      </c>
      <c r="I65">
        <v>189.54779312212293</v>
      </c>
      <c r="J65">
        <v>803</v>
      </c>
      <c r="K65">
        <v>72.295378259746968</v>
      </c>
      <c r="L65">
        <v>1198</v>
      </c>
      <c r="M65">
        <v>25.321950513673851</v>
      </c>
      <c r="N65">
        <v>1242</v>
      </c>
      <c r="O65">
        <v>3.8307683073653136</v>
      </c>
      <c r="P65">
        <f t="shared" si="9"/>
        <v>246779.14951659265</v>
      </c>
    </row>
    <row r="69" spans="1:21" ht="15" x14ac:dyDescent="0.25">
      <c r="A69" s="2" t="s">
        <v>24</v>
      </c>
    </row>
    <row r="70" spans="1:21" x14ac:dyDescent="0.2">
      <c r="G70" t="s">
        <v>25</v>
      </c>
    </row>
    <row r="72" spans="1:21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  <c r="T72" s="2"/>
      <c r="U72" s="2"/>
    </row>
    <row r="73" spans="1:21" ht="15" x14ac:dyDescent="0.25">
      <c r="A73" t="s">
        <v>90</v>
      </c>
      <c r="B73" s="6">
        <v>5.0000000000000001E-4</v>
      </c>
      <c r="C73">
        <f>S64/100</f>
        <v>4.1406588845703312E-4</v>
      </c>
      <c r="D73">
        <f>S63/100</f>
        <v>5.9943353054303151E-4</v>
      </c>
      <c r="E73">
        <v>100000</v>
      </c>
      <c r="F73">
        <v>70000</v>
      </c>
      <c r="G73">
        <f t="shared" ref="G73:G78" si="11">D73/C73</f>
        <v>1.447676679614321</v>
      </c>
      <c r="H73">
        <f t="shared" ref="H73:H78" si="12">LN(G73)</f>
        <v>0.36995998147197556</v>
      </c>
      <c r="I73">
        <f t="shared" ref="I73:I78" si="13">E73/F73</f>
        <v>1.4285714285714286</v>
      </c>
      <c r="J73">
        <f t="shared" ref="J73:J78" si="14">LN(I73)</f>
        <v>0.35667494393873239</v>
      </c>
      <c r="K73" s="44">
        <v>2.4131602898796309</v>
      </c>
      <c r="L73" s="44">
        <v>2940.6134295053839</v>
      </c>
      <c r="M73">
        <f t="shared" ref="M73:M78" si="15">POWER(B73,1/K73)</f>
        <v>4.2861938283636485E-2</v>
      </c>
      <c r="N73">
        <f t="shared" ref="N73:N78" si="16">L73/M73</f>
        <v>68606.636733178952</v>
      </c>
      <c r="O73">
        <v>2937600</v>
      </c>
      <c r="P73">
        <f>O73*(K73/(1-K73))*POWER(L73,K73)*(-1)*POWER(N73,1-K73)</f>
        <v>172077282.31983092</v>
      </c>
      <c r="Q73">
        <f t="shared" ref="Q73:Q78" si="17">B73*O73</f>
        <v>1468.8</v>
      </c>
      <c r="R73">
        <f t="shared" ref="R73:R78" si="18">P73/Q73</f>
        <v>117155.01247265178</v>
      </c>
      <c r="S73">
        <f t="shared" ref="S73:S78" si="19">26.2669322709163*P73</f>
        <v>4519942320.058342</v>
      </c>
    </row>
    <row r="74" spans="1:21" ht="15" x14ac:dyDescent="0.25">
      <c r="A74" t="s">
        <v>91</v>
      </c>
      <c r="B74" s="6">
        <v>1E-3</v>
      </c>
      <c r="C74">
        <f>S62/100</f>
        <v>6.9095830192728437E-4</v>
      </c>
      <c r="D74">
        <f>S61/100</f>
        <v>1.0728249818227826E-3</v>
      </c>
      <c r="E74">
        <v>60000</v>
      </c>
      <c r="F74">
        <v>50000</v>
      </c>
      <c r="G74">
        <f t="shared" si="11"/>
        <v>1.5526624093383936</v>
      </c>
      <c r="H74">
        <f t="shared" si="12"/>
        <v>0.43997114084420502</v>
      </c>
      <c r="I74">
        <f t="shared" si="13"/>
        <v>1.2</v>
      </c>
      <c r="J74">
        <f t="shared" si="14"/>
        <v>0.18232155679395459</v>
      </c>
      <c r="K74">
        <f t="shared" ref="K73:K78" si="20">H74/J74</f>
        <v>2.4131602898796309</v>
      </c>
      <c r="L74">
        <f t="shared" ref="L73:L78" si="21">F74*((D74)^(1/K74))</f>
        <v>2940.6134295053839</v>
      </c>
      <c r="M74">
        <f t="shared" si="15"/>
        <v>5.7123779919716046E-2</v>
      </c>
      <c r="N74">
        <f t="shared" si="16"/>
        <v>51477.920992592488</v>
      </c>
      <c r="O74">
        <v>2937600</v>
      </c>
      <c r="P74">
        <f>O74*(K74/(1-K74))*POWER(L74,K74)*(POWER(N73,1-K74)-POWER(N74,1-K74))+P73</f>
        <v>258231015.70569697</v>
      </c>
      <c r="Q74">
        <f t="shared" si="17"/>
        <v>2937.6</v>
      </c>
      <c r="R74">
        <f t="shared" si="18"/>
        <v>87905.43835297419</v>
      </c>
      <c r="S74">
        <f t="shared" si="19"/>
        <v>6782936599.7914658</v>
      </c>
    </row>
    <row r="75" spans="1:21" ht="15" x14ac:dyDescent="0.25">
      <c r="A75" t="s">
        <v>92</v>
      </c>
      <c r="B75" s="6">
        <v>2.5000000000000001E-3</v>
      </c>
      <c r="C75">
        <f>S60/100</f>
        <v>2.0600824767360035E-3</v>
      </c>
      <c r="D75">
        <f>S59/100</f>
        <v>3.710022041777727E-3</v>
      </c>
      <c r="E75">
        <v>40000</v>
      </c>
      <c r="F75">
        <v>30000</v>
      </c>
      <c r="G75">
        <f t="shared" si="11"/>
        <v>1.8009094702149446</v>
      </c>
      <c r="H75">
        <f t="shared" si="12"/>
        <v>0.58829179853116786</v>
      </c>
      <c r="I75">
        <f t="shared" si="13"/>
        <v>1.3333333333333333</v>
      </c>
      <c r="J75">
        <f t="shared" si="14"/>
        <v>0.28768207245178085</v>
      </c>
      <c r="K75">
        <f t="shared" si="20"/>
        <v>2.0449372931633514</v>
      </c>
      <c r="L75">
        <f t="shared" si="21"/>
        <v>1943.1926284861636</v>
      </c>
      <c r="M75">
        <f t="shared" si="15"/>
        <v>5.3402305730275622E-2</v>
      </c>
      <c r="N75">
        <f t="shared" si="16"/>
        <v>36387.803895600337</v>
      </c>
      <c r="O75">
        <v>2937600</v>
      </c>
      <c r="P75">
        <f t="shared" ref="P75:P78" si="22">O75*(K75/(1-K75))*POWER(L75,K75)*(POWER(N74,1-K75)-POWER(N75,1-K75))+P74</f>
        <v>417252056.35334146</v>
      </c>
      <c r="Q75">
        <f t="shared" si="17"/>
        <v>7344</v>
      </c>
      <c r="R75">
        <f t="shared" si="18"/>
        <v>56815.367150509461</v>
      </c>
      <c r="S75">
        <f t="shared" si="19"/>
        <v>10959931504.133772</v>
      </c>
    </row>
    <row r="76" spans="1:21" ht="15" x14ac:dyDescent="0.25">
      <c r="A76" t="s">
        <v>95</v>
      </c>
      <c r="B76" s="6">
        <v>5.0000000000000001E-3</v>
      </c>
      <c r="C76">
        <f>S58/100</f>
        <v>4.9777252056789874E-3</v>
      </c>
      <c r="D76">
        <f>S57/100</f>
        <v>7.0257311250648815E-3</v>
      </c>
      <c r="E76">
        <v>25000</v>
      </c>
      <c r="F76">
        <v>20000</v>
      </c>
      <c r="G76">
        <f t="shared" si="11"/>
        <v>1.4114341058942677</v>
      </c>
      <c r="H76">
        <f t="shared" si="12"/>
        <v>0.34460628387692449</v>
      </c>
      <c r="I76">
        <f t="shared" si="13"/>
        <v>1.25</v>
      </c>
      <c r="J76">
        <f t="shared" si="14"/>
        <v>0.22314355131420976</v>
      </c>
      <c r="K76">
        <f t="shared" si="20"/>
        <v>1.5443255332603465</v>
      </c>
      <c r="L76">
        <f t="shared" si="21"/>
        <v>806.66670700236307</v>
      </c>
      <c r="M76">
        <f t="shared" si="15"/>
        <v>3.2360091775999203E-2</v>
      </c>
      <c r="N76">
        <f t="shared" si="16"/>
        <v>24927.825068798189</v>
      </c>
      <c r="O76">
        <v>2937600</v>
      </c>
      <c r="P76">
        <f t="shared" si="22"/>
        <v>610547646.85504413</v>
      </c>
      <c r="Q76">
        <f t="shared" si="17"/>
        <v>14688</v>
      </c>
      <c r="R76">
        <f t="shared" si="18"/>
        <v>41567.786414422939</v>
      </c>
      <c r="S76">
        <f t="shared" si="19"/>
        <v>16037213688.108767</v>
      </c>
    </row>
    <row r="77" spans="1:21" ht="15" x14ac:dyDescent="0.25">
      <c r="A77" t="s">
        <v>98</v>
      </c>
      <c r="B77" s="6">
        <v>0.01</v>
      </c>
      <c r="C77">
        <f>S57/100</f>
        <v>7.0257311250648815E-3</v>
      </c>
      <c r="D77">
        <f>S56/100</f>
        <v>1.06828171935732E-2</v>
      </c>
      <c r="E77">
        <v>20000</v>
      </c>
      <c r="F77">
        <v>15000</v>
      </c>
      <c r="G77">
        <f t="shared" si="11"/>
        <v>1.5205274730001208</v>
      </c>
      <c r="H77">
        <f t="shared" si="12"/>
        <v>0.41905729637068329</v>
      </c>
      <c r="I77">
        <f t="shared" si="13"/>
        <v>1.3333333333333333</v>
      </c>
      <c r="J77">
        <f t="shared" si="14"/>
        <v>0.28768207245178085</v>
      </c>
      <c r="K77">
        <f t="shared" si="20"/>
        <v>1.45666809474519</v>
      </c>
      <c r="L77">
        <f t="shared" si="21"/>
        <v>664.94793363416466</v>
      </c>
      <c r="M77">
        <f t="shared" si="15"/>
        <v>4.2364651130732921E-2</v>
      </c>
      <c r="N77">
        <f t="shared" si="16"/>
        <v>15695.81988488951</v>
      </c>
      <c r="O77">
        <v>2937600</v>
      </c>
      <c r="P77">
        <f t="shared" si="22"/>
        <v>890618925.22341752</v>
      </c>
      <c r="Q77">
        <f t="shared" si="17"/>
        <v>29376</v>
      </c>
      <c r="R77">
        <f t="shared" si="18"/>
        <v>30317.910036200214</v>
      </c>
      <c r="S77">
        <f t="shared" si="19"/>
        <v>23393826988.039776</v>
      </c>
    </row>
    <row r="78" spans="1:21" ht="15" x14ac:dyDescent="0.25">
      <c r="A78" t="s">
        <v>96</v>
      </c>
      <c r="B78" s="6">
        <v>0.02</v>
      </c>
      <c r="C78">
        <f>S56/100</f>
        <v>1.06828171935732E-2</v>
      </c>
      <c r="D78">
        <f>S55/100</f>
        <v>2.0351808934568897E-2</v>
      </c>
      <c r="E78">
        <v>15000</v>
      </c>
      <c r="F78">
        <v>10000</v>
      </c>
      <c r="G78">
        <f t="shared" si="11"/>
        <v>1.9050975567393007</v>
      </c>
      <c r="H78">
        <f t="shared" si="12"/>
        <v>0.64453321815420361</v>
      </c>
      <c r="I78">
        <f t="shared" si="13"/>
        <v>1.5</v>
      </c>
      <c r="J78">
        <f t="shared" si="14"/>
        <v>0.40546510810816438</v>
      </c>
      <c r="K78">
        <f t="shared" si="20"/>
        <v>1.5896145075503363</v>
      </c>
      <c r="L78">
        <f t="shared" si="21"/>
        <v>862.91961390869631</v>
      </c>
      <c r="M78">
        <f t="shared" si="15"/>
        <v>8.5350541162575844E-2</v>
      </c>
      <c r="N78">
        <f t="shared" si="16"/>
        <v>10110.300440450701</v>
      </c>
      <c r="O78">
        <v>2937600</v>
      </c>
      <c r="P78">
        <f t="shared" si="22"/>
        <v>1256445468.355933</v>
      </c>
      <c r="Q78">
        <f t="shared" si="17"/>
        <v>58752</v>
      </c>
      <c r="R78">
        <f t="shared" si="18"/>
        <v>21385.577824685679</v>
      </c>
      <c r="S78">
        <f t="shared" si="19"/>
        <v>33002968019.404999</v>
      </c>
    </row>
    <row r="81" spans="1:11" ht="15" x14ac:dyDescent="0.25">
      <c r="A81" s="15" t="s">
        <v>60</v>
      </c>
      <c r="B81" s="16"/>
    </row>
    <row r="82" spans="1:11" ht="15" x14ac:dyDescent="0.25">
      <c r="A82" s="2" t="s">
        <v>61</v>
      </c>
      <c r="K82" s="27" t="s">
        <v>136</v>
      </c>
    </row>
    <row r="84" spans="1:11" ht="15" x14ac:dyDescent="0.25">
      <c r="A84" s="2" t="s">
        <v>27</v>
      </c>
      <c r="B84" s="2" t="s">
        <v>62</v>
      </c>
      <c r="C84" s="2" t="s">
        <v>134</v>
      </c>
      <c r="D84" s="17"/>
      <c r="E84" s="17"/>
      <c r="F84" s="2" t="s">
        <v>63</v>
      </c>
    </row>
    <row r="85" spans="1:11" x14ac:dyDescent="0.2">
      <c r="A85" s="18">
        <v>5.0000000000000001E-4</v>
      </c>
      <c r="B85">
        <f t="shared" ref="B85:B90" si="23">S32+S73</f>
        <v>11593619924.522617</v>
      </c>
      <c r="C85">
        <v>630858793103.44775</v>
      </c>
      <c r="F85">
        <f>B85/C85*100</f>
        <v>1.8377519741761772</v>
      </c>
    </row>
    <row r="86" spans="1:11" x14ac:dyDescent="0.2">
      <c r="A86" s="18">
        <v>1E-3</v>
      </c>
      <c r="B86">
        <f t="shared" si="23"/>
        <v>17187988564.610863</v>
      </c>
      <c r="C86">
        <v>630858793103.44775</v>
      </c>
      <c r="F86">
        <f t="shared" ref="F86:F90" si="24">B86/C86*100</f>
        <v>2.7245381617106808</v>
      </c>
    </row>
    <row r="87" spans="1:11" x14ac:dyDescent="0.2">
      <c r="A87" s="18">
        <v>2.5000000000000001E-3</v>
      </c>
      <c r="B87">
        <f t="shared" si="23"/>
        <v>28668503690.827599</v>
      </c>
      <c r="C87">
        <v>630858793103.44775</v>
      </c>
      <c r="F87">
        <f t="shared" si="24"/>
        <v>4.5443614330547275</v>
      </c>
    </row>
    <row r="88" spans="1:11" x14ac:dyDescent="0.2">
      <c r="A88" s="18">
        <v>5.0000000000000001E-3</v>
      </c>
      <c r="B88">
        <f t="shared" si="23"/>
        <v>43248849900.605858</v>
      </c>
      <c r="C88">
        <v>630858793103.44775</v>
      </c>
      <c r="F88">
        <f t="shared" si="24"/>
        <v>6.8555515708749013</v>
      </c>
    </row>
    <row r="89" spans="1:11" x14ac:dyDescent="0.2">
      <c r="A89" s="19">
        <v>0.01</v>
      </c>
      <c r="B89">
        <f t="shared" si="23"/>
        <v>63968476502.994736</v>
      </c>
      <c r="C89">
        <v>630858793103.44775</v>
      </c>
      <c r="F89">
        <f t="shared" si="24"/>
        <v>10.139904080326456</v>
      </c>
    </row>
    <row r="90" spans="1:11" x14ac:dyDescent="0.2">
      <c r="A90" s="19">
        <v>0.02</v>
      </c>
      <c r="B90">
        <f t="shared" si="23"/>
        <v>90598977647.714615</v>
      </c>
      <c r="C90">
        <v>630858793103.44775</v>
      </c>
      <c r="F90">
        <f t="shared" si="24"/>
        <v>14.361213418619698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A78" zoomScale="90" zoomScaleNormal="90" workbookViewId="0">
      <selection activeCell="F88" sqref="F88"/>
    </sheetView>
  </sheetViews>
  <sheetFormatPr defaultRowHeight="12.75" x14ac:dyDescent="0.2"/>
  <cols>
    <col min="1" max="1" width="15.85546875" customWidth="1"/>
    <col min="2" max="2" width="11.42578125" customWidth="1"/>
    <col min="3" max="5" width="10" customWidth="1"/>
    <col min="6" max="7" width="9.5703125" customWidth="1"/>
    <col min="8" max="9" width="10" customWidth="1"/>
    <col min="10" max="13" width="11" customWidth="1"/>
    <col min="14" max="14" width="14.28515625" customWidth="1"/>
    <col min="16" max="16" width="13.85546875" customWidth="1"/>
    <col min="17" max="17" width="9.5703125" customWidth="1"/>
    <col min="18" max="18" width="12.28515625" customWidth="1"/>
    <col min="19" max="19" width="11.5703125" customWidth="1"/>
    <col min="20" max="20" width="12.28515625" customWidth="1"/>
    <col min="21" max="21" width="12" customWidth="1"/>
    <col min="22" max="22" width="11.85546875" customWidth="1"/>
    <col min="23" max="23" width="12.140625" customWidth="1"/>
    <col min="24" max="24" width="11.42578125" customWidth="1"/>
    <col min="25" max="25" width="21.28515625" customWidth="1"/>
    <col min="26" max="26" width="12.855468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6" spans="1:19" x14ac:dyDescent="0.2">
      <c r="A6" t="s">
        <v>0</v>
      </c>
      <c r="B6" t="s">
        <v>1</v>
      </c>
      <c r="C6" t="s">
        <v>19</v>
      </c>
      <c r="D6" t="s">
        <v>5</v>
      </c>
      <c r="E6" t="s">
        <v>19</v>
      </c>
      <c r="F6" t="s">
        <v>6</v>
      </c>
      <c r="G6" t="s">
        <v>19</v>
      </c>
      <c r="H6" t="s">
        <v>7</v>
      </c>
      <c r="I6" t="s">
        <v>19</v>
      </c>
      <c r="J6" t="s">
        <v>8</v>
      </c>
      <c r="K6" t="s">
        <v>19</v>
      </c>
      <c r="L6" t="s">
        <v>9</v>
      </c>
      <c r="M6" t="s">
        <v>19</v>
      </c>
      <c r="N6" t="s">
        <v>2</v>
      </c>
      <c r="O6" t="s">
        <v>19</v>
      </c>
      <c r="P6" t="s">
        <v>20</v>
      </c>
      <c r="Q6" t="s">
        <v>21</v>
      </c>
      <c r="R6" t="s">
        <v>22</v>
      </c>
      <c r="S6" t="s">
        <v>23</v>
      </c>
    </row>
    <row r="7" spans="1:19" x14ac:dyDescent="0.2">
      <c r="A7">
        <v>1000</v>
      </c>
      <c r="B7">
        <v>4</v>
      </c>
      <c r="C7">
        <v>810.65431383902705</v>
      </c>
      <c r="D7">
        <v>1</v>
      </c>
      <c r="E7">
        <v>671.14093959731531</v>
      </c>
      <c r="G7">
        <v>289.13672036348618</v>
      </c>
      <c r="H7">
        <v>9</v>
      </c>
      <c r="I7">
        <v>102.69953051643192</v>
      </c>
      <c r="J7">
        <v>4</v>
      </c>
      <c r="K7">
        <v>39.987432521207616</v>
      </c>
      <c r="L7">
        <v>5</v>
      </c>
      <c r="M7">
        <v>16.295744482726505</v>
      </c>
      <c r="N7">
        <v>3</v>
      </c>
      <c r="O7">
        <v>3.3417853295624043</v>
      </c>
      <c r="P7">
        <f>(B7*C7)+(D7*E7)+(F7*G7)+(H7*I7)+(J7*K7)+(L7*M7)+(N7*O7)</f>
        <v>5089.5077780884603</v>
      </c>
    </row>
    <row r="8" spans="1:19" x14ac:dyDescent="0.2">
      <c r="A8">
        <v>2000</v>
      </c>
      <c r="B8">
        <v>17</v>
      </c>
      <c r="C8">
        <v>810.65431383902705</v>
      </c>
      <c r="D8">
        <v>13</v>
      </c>
      <c r="E8">
        <v>671.14093959731531</v>
      </c>
      <c r="F8">
        <v>24</v>
      </c>
      <c r="G8">
        <v>289.13672036348618</v>
      </c>
      <c r="H8">
        <v>40</v>
      </c>
      <c r="I8">
        <v>102.69953051643192</v>
      </c>
      <c r="J8">
        <v>80</v>
      </c>
      <c r="K8">
        <v>39.987432521207616</v>
      </c>
      <c r="L8">
        <v>84</v>
      </c>
      <c r="M8">
        <v>16.295744482726505</v>
      </c>
      <c r="N8">
        <v>46</v>
      </c>
      <c r="O8">
        <v>3.3417853295624043</v>
      </c>
      <c r="P8">
        <f t="shared" ref="P8:P22" si="0">(B8*C8)+(D8*E8)+(F8*G8)+(H8*I8)+(J8*K8)+(L8*M8)+(N8*O8)</f>
        <v>38274.777322815004</v>
      </c>
    </row>
    <row r="9" spans="1:19" x14ac:dyDescent="0.2">
      <c r="A9">
        <v>3000</v>
      </c>
      <c r="B9">
        <v>14</v>
      </c>
      <c r="C9">
        <v>810.65431383902705</v>
      </c>
      <c r="D9">
        <v>13</v>
      </c>
      <c r="E9">
        <v>671.14093959731531</v>
      </c>
      <c r="F9">
        <v>28</v>
      </c>
      <c r="G9">
        <v>289.13672036348618</v>
      </c>
      <c r="H9">
        <v>59</v>
      </c>
      <c r="I9">
        <v>102.69953051643192</v>
      </c>
      <c r="J9">
        <v>98</v>
      </c>
      <c r="K9">
        <v>39.987432521207616</v>
      </c>
      <c r="L9">
        <v>122</v>
      </c>
      <c r="M9">
        <v>16.295744482726505</v>
      </c>
      <c r="N9">
        <v>64</v>
      </c>
      <c r="O9">
        <v>3.3417853295624043</v>
      </c>
      <c r="P9">
        <f t="shared" si="0"/>
        <v>40349.81655422155</v>
      </c>
    </row>
    <row r="10" spans="1:19" x14ac:dyDescent="0.2">
      <c r="A10">
        <v>4000</v>
      </c>
      <c r="B10">
        <v>8</v>
      </c>
      <c r="C10">
        <v>810.65431383902705</v>
      </c>
      <c r="D10">
        <v>14</v>
      </c>
      <c r="E10">
        <v>671.14093959731531</v>
      </c>
      <c r="F10">
        <v>23</v>
      </c>
      <c r="G10">
        <v>289.13672036348618</v>
      </c>
      <c r="H10">
        <v>43</v>
      </c>
      <c r="I10">
        <v>102.69953051643192</v>
      </c>
      <c r="J10">
        <v>84</v>
      </c>
      <c r="K10">
        <v>39.987432521207616</v>
      </c>
      <c r="L10">
        <v>91</v>
      </c>
      <c r="M10">
        <v>16.295744482726505</v>
      </c>
      <c r="N10">
        <v>59</v>
      </c>
      <c r="O10">
        <v>3.3417853295624043</v>
      </c>
      <c r="P10">
        <f t="shared" si="0"/>
        <v>31986.454459795117</v>
      </c>
    </row>
    <row r="11" spans="1:19" x14ac:dyDescent="0.2">
      <c r="A11">
        <v>5000</v>
      </c>
      <c r="B11">
        <v>23</v>
      </c>
      <c r="C11">
        <v>810.65431383902705</v>
      </c>
      <c r="D11">
        <v>56</v>
      </c>
      <c r="E11">
        <v>671.14093959731531</v>
      </c>
      <c r="F11">
        <v>210</v>
      </c>
      <c r="G11">
        <v>289.13672036348618</v>
      </c>
      <c r="H11">
        <v>475</v>
      </c>
      <c r="I11">
        <v>102.69953051643192</v>
      </c>
      <c r="J11">
        <v>922</v>
      </c>
      <c r="K11">
        <v>39.987432521207616</v>
      </c>
      <c r="L11">
        <v>884</v>
      </c>
      <c r="M11">
        <v>16.295744482726505</v>
      </c>
      <c r="N11">
        <v>590</v>
      </c>
      <c r="O11">
        <v>3.3417853295624043</v>
      </c>
      <c r="P11">
        <f t="shared" si="0"/>
        <v>218975.43435911002</v>
      </c>
    </row>
    <row r="12" spans="1:19" x14ac:dyDescent="0.2">
      <c r="A12">
        <v>10000</v>
      </c>
      <c r="B12">
        <v>6</v>
      </c>
      <c r="C12">
        <v>810.65431383902705</v>
      </c>
      <c r="D12">
        <v>27</v>
      </c>
      <c r="E12">
        <v>671.14093959731531</v>
      </c>
      <c r="F12">
        <v>60</v>
      </c>
      <c r="G12">
        <v>289.13672036348618</v>
      </c>
      <c r="H12">
        <v>182</v>
      </c>
      <c r="I12">
        <v>102.69953051643192</v>
      </c>
      <c r="J12">
        <v>399</v>
      </c>
      <c r="K12">
        <v>39.987432521207616</v>
      </c>
      <c r="L12">
        <v>379</v>
      </c>
      <c r="M12">
        <v>16.295744482726505</v>
      </c>
      <c r="N12">
        <v>278</v>
      </c>
      <c r="O12">
        <v>3.3417853295624043</v>
      </c>
      <c r="P12">
        <f t="shared" si="0"/>
        <v>82084.338084494986</v>
      </c>
      <c r="Q12" s="3">
        <f>P12+Q13</f>
        <v>215814.38247264241</v>
      </c>
      <c r="R12">
        <v>3033500</v>
      </c>
      <c r="S12">
        <f>Q12/R12*100</f>
        <v>7.1143689623419286</v>
      </c>
    </row>
    <row r="13" spans="1:19" x14ac:dyDescent="0.2">
      <c r="A13">
        <v>15000</v>
      </c>
      <c r="C13">
        <v>810.65431383902705</v>
      </c>
      <c r="D13">
        <v>12</v>
      </c>
      <c r="E13">
        <v>671.14093959731531</v>
      </c>
      <c r="F13">
        <v>46</v>
      </c>
      <c r="G13">
        <v>289.13672036348618</v>
      </c>
      <c r="H13">
        <v>117</v>
      </c>
      <c r="I13">
        <v>102.69953051643192</v>
      </c>
      <c r="J13">
        <v>204</v>
      </c>
      <c r="K13">
        <v>39.987432521207616</v>
      </c>
      <c r="L13">
        <v>241</v>
      </c>
      <c r="M13">
        <v>16.295744482726505</v>
      </c>
      <c r="N13">
        <v>174</v>
      </c>
      <c r="O13">
        <v>3.3417853295624043</v>
      </c>
      <c r="P13">
        <f t="shared" si="0"/>
        <v>46036.006784317986</v>
      </c>
      <c r="Q13" s="3">
        <f>P13+Q14</f>
        <v>133730.04438814742</v>
      </c>
      <c r="R13">
        <v>3033500</v>
      </c>
      <c r="S13">
        <f t="shared" ref="S13:S21" si="1">Q13/R13*100</f>
        <v>4.4084405600180459</v>
      </c>
    </row>
    <row r="14" spans="1:19" x14ac:dyDescent="0.2">
      <c r="A14">
        <v>20000</v>
      </c>
      <c r="C14">
        <v>810.65431383902705</v>
      </c>
      <c r="D14">
        <v>10</v>
      </c>
      <c r="E14">
        <v>671.14093959731531</v>
      </c>
      <c r="F14">
        <v>23</v>
      </c>
      <c r="G14">
        <v>289.13672036348618</v>
      </c>
      <c r="H14">
        <v>66</v>
      </c>
      <c r="I14">
        <v>102.69953051643192</v>
      </c>
      <c r="J14">
        <v>119</v>
      </c>
      <c r="K14">
        <v>39.987432521207616</v>
      </c>
      <c r="L14">
        <v>153</v>
      </c>
      <c r="M14">
        <v>16.295744482726505</v>
      </c>
      <c r="N14">
        <v>102</v>
      </c>
      <c r="O14">
        <v>3.3417853295624043</v>
      </c>
      <c r="P14">
        <f t="shared" si="0"/>
        <v>27732.338457914066</v>
      </c>
      <c r="Q14" s="3">
        <f>P14+Q15</f>
        <v>87694.03760382942</v>
      </c>
      <c r="R14">
        <v>3033500</v>
      </c>
      <c r="S14">
        <f t="shared" si="1"/>
        <v>2.8908533905992884</v>
      </c>
    </row>
    <row r="15" spans="1:19" x14ac:dyDescent="0.2">
      <c r="A15">
        <v>25000</v>
      </c>
      <c r="B15">
        <v>1</v>
      </c>
      <c r="C15">
        <v>810.65431383902705</v>
      </c>
      <c r="D15">
        <v>2</v>
      </c>
      <c r="E15">
        <v>671.14093959731531</v>
      </c>
      <c r="F15">
        <v>19</v>
      </c>
      <c r="G15">
        <v>289.13672036348618</v>
      </c>
      <c r="H15">
        <v>52</v>
      </c>
      <c r="I15">
        <v>102.69953051643192</v>
      </c>
      <c r="J15">
        <v>76</v>
      </c>
      <c r="K15">
        <v>39.987432521207616</v>
      </c>
      <c r="L15">
        <v>92</v>
      </c>
      <c r="M15">
        <v>16.295744482726505</v>
      </c>
      <c r="N15">
        <v>66</v>
      </c>
      <c r="O15">
        <v>3.3417853295624043</v>
      </c>
      <c r="P15">
        <f t="shared" si="0"/>
        <v>17745.720662568088</v>
      </c>
      <c r="Q15" s="3">
        <f>P15+Q16</f>
        <v>59961.699145915351</v>
      </c>
      <c r="R15">
        <v>3033500</v>
      </c>
      <c r="S15">
        <f t="shared" si="1"/>
        <v>1.9766507053210929</v>
      </c>
    </row>
    <row r="16" spans="1:19" x14ac:dyDescent="0.2">
      <c r="A16">
        <v>30000</v>
      </c>
      <c r="C16">
        <v>810.65431383902705</v>
      </c>
      <c r="D16">
        <v>4</v>
      </c>
      <c r="E16">
        <v>671.14093959731531</v>
      </c>
      <c r="F16">
        <v>18</v>
      </c>
      <c r="G16">
        <v>289.13672036348618</v>
      </c>
      <c r="H16">
        <v>43</v>
      </c>
      <c r="I16">
        <v>102.69953051643192</v>
      </c>
      <c r="J16">
        <v>102</v>
      </c>
      <c r="K16">
        <v>39.987432521207616</v>
      </c>
      <c r="L16">
        <v>124</v>
      </c>
      <c r="M16">
        <v>16.295744482726505</v>
      </c>
      <c r="N16">
        <v>87</v>
      </c>
      <c r="O16">
        <v>3.3417853295624043</v>
      </c>
      <c r="P16">
        <f t="shared" si="0"/>
        <v>18695.230293831777</v>
      </c>
      <c r="Q16" s="3">
        <f>P16+Q17</f>
        <v>42215.978483347266</v>
      </c>
      <c r="R16">
        <v>3033500</v>
      </c>
      <c r="S16">
        <f t="shared" si="1"/>
        <v>1.3916590896109202</v>
      </c>
    </row>
    <row r="17" spans="1:21" x14ac:dyDescent="0.2">
      <c r="A17">
        <v>40000</v>
      </c>
      <c r="B17">
        <v>1</v>
      </c>
      <c r="C17">
        <v>810.65431383902705</v>
      </c>
      <c r="D17">
        <v>2</v>
      </c>
      <c r="E17">
        <v>671.14093959731531</v>
      </c>
      <c r="F17">
        <v>4</v>
      </c>
      <c r="G17">
        <v>289.13672036348618</v>
      </c>
      <c r="H17">
        <v>25</v>
      </c>
      <c r="I17">
        <v>102.69953051643192</v>
      </c>
      <c r="J17">
        <v>49</v>
      </c>
      <c r="K17">
        <v>39.987432521207616</v>
      </c>
      <c r="L17">
        <v>43</v>
      </c>
      <c r="M17">
        <v>16.295744482726505</v>
      </c>
      <c r="N17">
        <v>43</v>
      </c>
      <c r="O17">
        <v>3.3417853295624043</v>
      </c>
      <c r="P17">
        <f t="shared" si="0"/>
        <v>8680.7693128659957</v>
      </c>
      <c r="Q17" s="3">
        <f>P17+P18+P19+P20+P21</f>
        <v>23520.748189515492</v>
      </c>
      <c r="R17">
        <v>3033500</v>
      </c>
      <c r="S17">
        <f t="shared" si="1"/>
        <v>0.77536667840829043</v>
      </c>
    </row>
    <row r="18" spans="1:21" x14ac:dyDescent="0.2">
      <c r="A18">
        <v>50000</v>
      </c>
      <c r="C18">
        <v>810.65431383902705</v>
      </c>
      <c r="D18">
        <v>1</v>
      </c>
      <c r="E18">
        <v>671.14093959731531</v>
      </c>
      <c r="F18">
        <v>9</v>
      </c>
      <c r="G18">
        <v>289.13672036348618</v>
      </c>
      <c r="H18">
        <v>13</v>
      </c>
      <c r="I18">
        <v>102.69953051643192</v>
      </c>
      <c r="J18">
        <v>29</v>
      </c>
      <c r="K18">
        <v>39.987432521207616</v>
      </c>
      <c r="L18">
        <v>27</v>
      </c>
      <c r="M18">
        <v>16.295744482726505</v>
      </c>
      <c r="N18">
        <v>22</v>
      </c>
      <c r="O18">
        <v>3.3417853295624043</v>
      </c>
      <c r="P18">
        <f t="shared" si="0"/>
        <v>6281.6052409813165</v>
      </c>
      <c r="Q18" s="3">
        <f>P18+P19+P20+P21</f>
        <v>14839.9788766495</v>
      </c>
      <c r="R18">
        <v>3033500</v>
      </c>
      <c r="S18">
        <f t="shared" si="1"/>
        <v>0.48920319356022746</v>
      </c>
    </row>
    <row r="19" spans="1:21" x14ac:dyDescent="0.2">
      <c r="A19">
        <v>60000</v>
      </c>
      <c r="C19">
        <v>810.65431383902705</v>
      </c>
      <c r="D19">
        <v>1</v>
      </c>
      <c r="E19">
        <v>671.14093959731531</v>
      </c>
      <c r="F19">
        <v>3</v>
      </c>
      <c r="G19">
        <v>289.13672036348618</v>
      </c>
      <c r="H19">
        <v>3</v>
      </c>
      <c r="I19">
        <v>102.69953051643192</v>
      </c>
      <c r="J19">
        <v>26</v>
      </c>
      <c r="K19">
        <v>39.987432521207616</v>
      </c>
      <c r="L19">
        <v>28</v>
      </c>
      <c r="M19">
        <v>16.295744482726505</v>
      </c>
      <c r="N19">
        <v>18</v>
      </c>
      <c r="O19">
        <v>3.3417853295624043</v>
      </c>
      <c r="P19">
        <f t="shared" si="0"/>
        <v>3402.7559192369331</v>
      </c>
      <c r="Q19" s="3">
        <f>P20+P19+P21</f>
        <v>8558.373635668182</v>
      </c>
      <c r="R19">
        <v>3033500</v>
      </c>
      <c r="S19">
        <f t="shared" si="1"/>
        <v>0.28212868421520299</v>
      </c>
    </row>
    <row r="20" spans="1:21" x14ac:dyDescent="0.2">
      <c r="A20">
        <v>70000</v>
      </c>
      <c r="C20">
        <v>810.65431383902705</v>
      </c>
      <c r="D20">
        <v>1</v>
      </c>
      <c r="E20">
        <v>671.14093959731531</v>
      </c>
      <c r="F20">
        <v>3</v>
      </c>
      <c r="G20">
        <v>289.13672036348618</v>
      </c>
      <c r="H20">
        <v>6</v>
      </c>
      <c r="I20">
        <v>102.69953051643192</v>
      </c>
      <c r="J20">
        <v>17</v>
      </c>
      <c r="K20">
        <v>39.987432521207616</v>
      </c>
      <c r="L20">
        <v>23</v>
      </c>
      <c r="M20">
        <v>16.295744482726505</v>
      </c>
      <c r="N20">
        <v>15</v>
      </c>
      <c r="O20">
        <v>3.3417853295624043</v>
      </c>
      <c r="P20">
        <f t="shared" si="0"/>
        <v>3259.4635396930403</v>
      </c>
      <c r="Q20" s="3">
        <f>P21+P20</f>
        <v>5155.6177164312485</v>
      </c>
      <c r="R20">
        <v>3033500</v>
      </c>
      <c r="S20">
        <f t="shared" si="1"/>
        <v>0.16995608097680068</v>
      </c>
    </row>
    <row r="21" spans="1:21" x14ac:dyDescent="0.2">
      <c r="A21" t="s">
        <v>4</v>
      </c>
      <c r="C21">
        <v>810.65431383902705</v>
      </c>
      <c r="E21">
        <v>671.14093959731531</v>
      </c>
      <c r="F21">
        <v>1</v>
      </c>
      <c r="G21">
        <v>289.13672036348618</v>
      </c>
      <c r="H21">
        <v>4</v>
      </c>
      <c r="I21">
        <v>102.69953051643192</v>
      </c>
      <c r="J21">
        <v>17</v>
      </c>
      <c r="K21">
        <v>39.987432521207616</v>
      </c>
      <c r="L21">
        <v>28</v>
      </c>
      <c r="M21">
        <v>16.295744482726505</v>
      </c>
      <c r="N21">
        <v>18</v>
      </c>
      <c r="O21">
        <v>3.3417853295624043</v>
      </c>
      <c r="P21">
        <f t="shared" si="0"/>
        <v>1896.1541767382087</v>
      </c>
      <c r="Q21" s="3">
        <f>P21</f>
        <v>1896.1541767382087</v>
      </c>
      <c r="R21">
        <v>3033500</v>
      </c>
      <c r="S21">
        <f t="shared" si="1"/>
        <v>6.2507142796710352E-2</v>
      </c>
    </row>
    <row r="22" spans="1:21" x14ac:dyDescent="0.2">
      <c r="A22" t="s">
        <v>3</v>
      </c>
      <c r="B22">
        <f t="shared" ref="B22:N22" si="2">SUM(B7:B21)</f>
        <v>74</v>
      </c>
      <c r="C22">
        <v>810.65431383902705</v>
      </c>
      <c r="D22">
        <f t="shared" si="2"/>
        <v>157</v>
      </c>
      <c r="E22">
        <v>671.14093959731531</v>
      </c>
      <c r="F22">
        <f t="shared" si="2"/>
        <v>471</v>
      </c>
      <c r="G22">
        <v>289.13672036348618</v>
      </c>
      <c r="H22">
        <f t="shared" si="2"/>
        <v>1137</v>
      </c>
      <c r="I22">
        <v>102.69953051643192</v>
      </c>
      <c r="J22">
        <f t="shared" si="2"/>
        <v>2226</v>
      </c>
      <c r="K22">
        <v>39.987432521207616</v>
      </c>
      <c r="L22">
        <f t="shared" si="2"/>
        <v>2324</v>
      </c>
      <c r="M22">
        <v>16.295744482726505</v>
      </c>
      <c r="N22">
        <f t="shared" si="2"/>
        <v>1585</v>
      </c>
      <c r="O22">
        <v>3.3417853295624043</v>
      </c>
      <c r="P22">
        <f t="shared" si="0"/>
        <v>550490.37294667249</v>
      </c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t="s">
        <v>26</v>
      </c>
      <c r="B31" s="2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41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t="s">
        <v>4</v>
      </c>
      <c r="B32" s="6">
        <v>5.0000000000000001E-4</v>
      </c>
      <c r="C32" s="27" t="s">
        <v>87</v>
      </c>
      <c r="K32">
        <v>2.8044000244931357</v>
      </c>
      <c r="L32">
        <v>7202.5213004881125</v>
      </c>
      <c r="M32">
        <f t="shared" ref="M32:M37" si="3">POWER(B32,1/K32)</f>
        <v>6.6513597543044173E-2</v>
      </c>
      <c r="N32">
        <f t="shared" ref="N32:N37" si="4">L32/M32</f>
        <v>108286.44918547687</v>
      </c>
      <c r="O32">
        <v>3033500</v>
      </c>
      <c r="P32">
        <f>O32*(K32/(1-K32))*POWER(L32,K32)*(-1)*POWER(N32,1-K32)</f>
        <v>255267340.99549443</v>
      </c>
      <c r="Q32">
        <f t="shared" ref="Q32:Q37" si="5">B32*O32</f>
        <v>1516.75</v>
      </c>
      <c r="R32">
        <f t="shared" ref="R32:R37" si="6">P32/Q32</f>
        <v>168298.8897283629</v>
      </c>
      <c r="S32">
        <f t="shared" ref="S32:S37" si="7">26.0699029126214*P32</f>
        <v>6654794796.5155602</v>
      </c>
    </row>
    <row r="33" spans="1:19" ht="15" x14ac:dyDescent="0.25">
      <c r="A33" t="s">
        <v>90</v>
      </c>
      <c r="B33" s="6">
        <v>1E-3</v>
      </c>
      <c r="C33">
        <f>S21/100</f>
        <v>6.2507142796710353E-4</v>
      </c>
      <c r="D33">
        <f>S20/100</f>
        <v>1.6995608097680067E-3</v>
      </c>
      <c r="E33">
        <v>100000</v>
      </c>
      <c r="F33">
        <v>70000</v>
      </c>
      <c r="G33">
        <f>D33/C33</f>
        <v>2.7189865569370606</v>
      </c>
      <c r="H33">
        <f>LN(G33)</f>
        <v>1.0002592215178689</v>
      </c>
      <c r="I33">
        <f>E33/F33</f>
        <v>1.4285714285714286</v>
      </c>
      <c r="J33">
        <f>LN(I33)</f>
        <v>0.35667494393873239</v>
      </c>
      <c r="K33">
        <f>H33/J33</f>
        <v>2.8044000244931357</v>
      </c>
      <c r="L33">
        <f>F33*((D33)^(1/K33))</f>
        <v>7202.5213004881125</v>
      </c>
      <c r="M33">
        <f t="shared" si="3"/>
        <v>8.5163297677430888E-2</v>
      </c>
      <c r="N33">
        <f t="shared" si="4"/>
        <v>84573.06723570959</v>
      </c>
      <c r="O33">
        <v>3033500</v>
      </c>
      <c r="P33">
        <f>O33*(K33/(1-K33))*POWER(L33,K33)*(POWER(N32,1-K33)-POWER(N33,1-K33))+P32</f>
        <v>398733953.42596948</v>
      </c>
      <c r="Q33">
        <f t="shared" si="5"/>
        <v>3033.5</v>
      </c>
      <c r="R33">
        <f t="shared" si="6"/>
        <v>131443.53170462156</v>
      </c>
      <c r="S33">
        <f t="shared" si="7"/>
        <v>10394955453.780727</v>
      </c>
    </row>
    <row r="34" spans="1:19" ht="15" x14ac:dyDescent="0.25">
      <c r="A34" t="s">
        <v>99</v>
      </c>
      <c r="B34" s="6">
        <v>2.5000000000000001E-3</v>
      </c>
      <c r="C34">
        <f>S20/100</f>
        <v>1.6995608097680067E-3</v>
      </c>
      <c r="D34">
        <f>S19/100</f>
        <v>2.8212868421520296E-3</v>
      </c>
      <c r="E34">
        <v>70000</v>
      </c>
      <c r="F34">
        <v>60000</v>
      </c>
      <c r="G34">
        <f>D34/C34</f>
        <v>1.6600093541443455</v>
      </c>
      <c r="H34">
        <f>LN(G34)</f>
        <v>0.50682323737928925</v>
      </c>
      <c r="I34">
        <f>E34/F34</f>
        <v>1.1666666666666667</v>
      </c>
      <c r="J34">
        <f>LN(I34)</f>
        <v>0.15415067982725836</v>
      </c>
      <c r="K34">
        <f>H34/J34</f>
        <v>3.2878430244176453</v>
      </c>
      <c r="L34">
        <f>F34*((D34)^(1/K34))</f>
        <v>10062.428481129522</v>
      </c>
      <c r="M34">
        <f t="shared" si="3"/>
        <v>0.16165213324930811</v>
      </c>
      <c r="N34">
        <f t="shared" si="4"/>
        <v>62247.421539502575</v>
      </c>
      <c r="O34">
        <v>3033500</v>
      </c>
      <c r="P34">
        <f t="shared" ref="P34:P37" si="8">O34*(K34/(1-K34))*POWER(L34,K34)*(POWER(N33,1-K34)-POWER(N34,1-K34))+P33</f>
        <v>740665028.48447621</v>
      </c>
      <c r="Q34">
        <f t="shared" si="5"/>
        <v>7583.75</v>
      </c>
      <c r="R34">
        <f t="shared" si="6"/>
        <v>97664.747451389645</v>
      </c>
      <c r="S34">
        <f t="shared" si="7"/>
        <v>19309065383.364258</v>
      </c>
    </row>
    <row r="35" spans="1:19" ht="15" x14ac:dyDescent="0.25">
      <c r="A35" t="s">
        <v>94</v>
      </c>
      <c r="B35" s="6">
        <v>5.0000000000000001E-3</v>
      </c>
      <c r="C35">
        <f>S18/100</f>
        <v>4.8920319356022743E-3</v>
      </c>
      <c r="D35">
        <f>S17/100</f>
        <v>7.7536667840829047E-3</v>
      </c>
      <c r="E35">
        <v>50000</v>
      </c>
      <c r="F35">
        <v>40000</v>
      </c>
      <c r="G35">
        <f>D35/C35</f>
        <v>1.5849583335003976</v>
      </c>
      <c r="H35">
        <f>LN(G35)</f>
        <v>0.46055811897134064</v>
      </c>
      <c r="I35">
        <f>E35/F35</f>
        <v>1.25</v>
      </c>
      <c r="J35">
        <f>LN(I35)</f>
        <v>0.22314355131420976</v>
      </c>
      <c r="K35">
        <f>H35/J35</f>
        <v>2.0639544197395425</v>
      </c>
      <c r="L35">
        <f>F35*((D35)^(1/K35))</f>
        <v>3797.6225378985828</v>
      </c>
      <c r="M35">
        <f t="shared" si="3"/>
        <v>7.6760052968811249E-2</v>
      </c>
      <c r="N35">
        <f t="shared" si="4"/>
        <v>49473.943685807688</v>
      </c>
      <c r="O35">
        <v>3033500</v>
      </c>
      <c r="P35">
        <f t="shared" si="8"/>
        <v>1056248860.4876218</v>
      </c>
      <c r="Q35">
        <f t="shared" si="5"/>
        <v>15167.5</v>
      </c>
      <c r="R35">
        <f t="shared" si="6"/>
        <v>69638.955693925949</v>
      </c>
      <c r="S35">
        <f t="shared" si="7"/>
        <v>27536305244.479286</v>
      </c>
    </row>
    <row r="36" spans="1:19" ht="15" x14ac:dyDescent="0.25">
      <c r="A36" t="s">
        <v>92</v>
      </c>
      <c r="B36" s="6">
        <v>0.01</v>
      </c>
      <c r="C36">
        <f>S17/100</f>
        <v>7.7536667840829047E-3</v>
      </c>
      <c r="D36">
        <f>S16/100</f>
        <v>1.3916590896109202E-2</v>
      </c>
      <c r="E36">
        <v>40000</v>
      </c>
      <c r="F36">
        <v>30000</v>
      </c>
      <c r="G36">
        <f>D36/C36</f>
        <v>1.7948399491035443</v>
      </c>
      <c r="H36">
        <f>LN(G36)</f>
        <v>0.58491585311999894</v>
      </c>
      <c r="I36">
        <f>E36/F36</f>
        <v>1.3333333333333333</v>
      </c>
      <c r="J36">
        <f>LN(I36)</f>
        <v>0.28768207245178085</v>
      </c>
      <c r="K36">
        <f>H36/J36</f>
        <v>2.0332023060562392</v>
      </c>
      <c r="L36">
        <f>F36*((D36)^(1/K36))</f>
        <v>3664.7621258526838</v>
      </c>
      <c r="M36">
        <f t="shared" si="3"/>
        <v>0.10383172167469266</v>
      </c>
      <c r="N36">
        <f t="shared" si="4"/>
        <v>35295.207155809992</v>
      </c>
      <c r="O36">
        <v>3033500</v>
      </c>
      <c r="P36">
        <f t="shared" si="8"/>
        <v>1676840082.8864837</v>
      </c>
      <c r="Q36">
        <f t="shared" si="5"/>
        <v>30335</v>
      </c>
      <c r="R36">
        <f t="shared" si="6"/>
        <v>55277.405072902053</v>
      </c>
      <c r="S36">
        <f t="shared" si="7"/>
        <v>43715058160.842651</v>
      </c>
    </row>
    <row r="37" spans="1:19" ht="15" x14ac:dyDescent="0.25">
      <c r="A37" t="s">
        <v>95</v>
      </c>
      <c r="B37" s="6">
        <v>0.02</v>
      </c>
      <c r="C37">
        <f>S15/100</f>
        <v>1.9766507053210928E-2</v>
      </c>
      <c r="D37">
        <f>S14/100</f>
        <v>2.8908533905992885E-2</v>
      </c>
      <c r="E37">
        <v>25000</v>
      </c>
      <c r="F37">
        <v>20000</v>
      </c>
      <c r="G37">
        <f>D37/C37</f>
        <v>1.4625008772754771</v>
      </c>
      <c r="H37">
        <f>LN(G37)</f>
        <v>0.38014789997017462</v>
      </c>
      <c r="I37">
        <f>E37/F37</f>
        <v>1.25</v>
      </c>
      <c r="J37">
        <f>LN(I37)</f>
        <v>0.22314355131420976</v>
      </c>
      <c r="K37">
        <f>H37/J37</f>
        <v>1.7036024466370803</v>
      </c>
      <c r="L37">
        <f>F37*((D37)^(1/K37))</f>
        <v>2498.4204085450619</v>
      </c>
      <c r="M37">
        <f t="shared" si="3"/>
        <v>0.10062808404831518</v>
      </c>
      <c r="N37">
        <f t="shared" si="4"/>
        <v>24828.261734025265</v>
      </c>
      <c r="O37">
        <v>3033500</v>
      </c>
      <c r="P37">
        <f t="shared" si="8"/>
        <v>2476497814.2691302</v>
      </c>
      <c r="Q37">
        <f t="shared" si="5"/>
        <v>60670</v>
      </c>
      <c r="R37">
        <f t="shared" si="6"/>
        <v>40819.149732472892</v>
      </c>
      <c r="S37">
        <f t="shared" si="7"/>
        <v>64562057581.315331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1000</v>
      </c>
      <c r="B50">
        <v>3</v>
      </c>
      <c r="C50">
        <v>1897.0189701897018</v>
      </c>
      <c r="D50">
        <v>3</v>
      </c>
      <c r="E50">
        <v>1056.6037735849056</v>
      </c>
      <c r="F50">
        <v>6</v>
      </c>
      <c r="G50">
        <v>442.47787610619469</v>
      </c>
      <c r="H50">
        <v>7</v>
      </c>
      <c r="I50">
        <v>187.5418620227729</v>
      </c>
      <c r="J50">
        <v>12</v>
      </c>
      <c r="K50">
        <v>72.187274414767444</v>
      </c>
      <c r="L50">
        <v>4</v>
      </c>
      <c r="M50">
        <v>24.441767488957556</v>
      </c>
      <c r="N50">
        <v>1</v>
      </c>
      <c r="O50">
        <v>3.608598441983466</v>
      </c>
      <c r="P50">
        <f>(B50*C50)+(D50*E50)+(F50*G50)+(H50*I50)+(J50*K50)+(L50*M50)+(N50*O50)</f>
        <v>13796.151483495425</v>
      </c>
    </row>
    <row r="51" spans="1:19" x14ac:dyDescent="0.2">
      <c r="A51">
        <v>2000</v>
      </c>
      <c r="B51">
        <v>3</v>
      </c>
      <c r="C51">
        <v>1897.0189701897018</v>
      </c>
      <c r="D51">
        <v>0</v>
      </c>
      <c r="E51">
        <v>1056.6037735849056</v>
      </c>
      <c r="F51">
        <v>14</v>
      </c>
      <c r="G51">
        <v>442.47787610619469</v>
      </c>
      <c r="H51">
        <v>26</v>
      </c>
      <c r="I51">
        <v>187.5418620227729</v>
      </c>
      <c r="J51">
        <v>88</v>
      </c>
      <c r="K51">
        <v>72.187274414767444</v>
      </c>
      <c r="L51">
        <v>124</v>
      </c>
      <c r="M51">
        <v>24.441767488957556</v>
      </c>
      <c r="N51">
        <v>110</v>
      </c>
      <c r="O51">
        <v>3.608598441983466</v>
      </c>
      <c r="P51">
        <f t="shared" ref="P51:P65" si="9">(B51*C51)+(D51*E51)+(F51*G51)+(H51*I51)+(J51*K51)+(L51*M51)+(N51*O51)</f>
        <v>26542.040734396374</v>
      </c>
    </row>
    <row r="52" spans="1:19" x14ac:dyDescent="0.2">
      <c r="A52">
        <v>3000</v>
      </c>
      <c r="B52">
        <v>1</v>
      </c>
      <c r="C52">
        <v>1897.0189701897018</v>
      </c>
      <c r="D52">
        <v>7</v>
      </c>
      <c r="E52">
        <v>1056.6037735849056</v>
      </c>
      <c r="F52">
        <v>28</v>
      </c>
      <c r="G52">
        <v>442.47787610619469</v>
      </c>
      <c r="H52">
        <v>26</v>
      </c>
      <c r="I52">
        <v>187.5418620227729</v>
      </c>
      <c r="J52">
        <v>89</v>
      </c>
      <c r="K52">
        <v>72.187274414767444</v>
      </c>
      <c r="L52">
        <v>155</v>
      </c>
      <c r="M52">
        <v>24.441767488957556</v>
      </c>
      <c r="N52">
        <v>180</v>
      </c>
      <c r="O52">
        <v>3.608598441983466</v>
      </c>
      <c r="P52">
        <f t="shared" si="9"/>
        <v>37421.403432109342</v>
      </c>
    </row>
    <row r="53" spans="1:19" x14ac:dyDescent="0.2">
      <c r="A53">
        <v>4000</v>
      </c>
      <c r="B53">
        <v>2</v>
      </c>
      <c r="C53">
        <v>1897.0189701897018</v>
      </c>
      <c r="D53">
        <v>8</v>
      </c>
      <c r="E53">
        <v>1056.6037735849056</v>
      </c>
      <c r="F53">
        <v>12</v>
      </c>
      <c r="G53">
        <v>442.47787610619469</v>
      </c>
      <c r="H53">
        <v>22</v>
      </c>
      <c r="I53">
        <v>187.5418620227729</v>
      </c>
      <c r="J53">
        <v>79</v>
      </c>
      <c r="K53">
        <v>72.187274414767444</v>
      </c>
      <c r="L53">
        <v>113</v>
      </c>
      <c r="M53">
        <v>24.441767488957556</v>
      </c>
      <c r="N53">
        <v>102</v>
      </c>
      <c r="O53">
        <v>3.608598441983466</v>
      </c>
      <c r="P53">
        <f t="shared" si="9"/>
        <v>30515.315052935133</v>
      </c>
    </row>
    <row r="54" spans="1:19" x14ac:dyDescent="0.2">
      <c r="A54">
        <v>5000</v>
      </c>
      <c r="B54">
        <v>2</v>
      </c>
      <c r="C54">
        <v>1897.0189701897018</v>
      </c>
      <c r="D54">
        <v>44</v>
      </c>
      <c r="E54">
        <v>1056.6037735849056</v>
      </c>
      <c r="F54">
        <v>47</v>
      </c>
      <c r="G54">
        <v>442.47787610619469</v>
      </c>
      <c r="H54">
        <v>159</v>
      </c>
      <c r="I54">
        <v>187.5418620227729</v>
      </c>
      <c r="J54">
        <v>431</v>
      </c>
      <c r="K54">
        <v>72.187274414767444</v>
      </c>
      <c r="L54">
        <v>572</v>
      </c>
      <c r="M54">
        <v>24.441767488957556</v>
      </c>
      <c r="N54">
        <v>606</v>
      </c>
      <c r="O54">
        <v>3.608598441983466</v>
      </c>
      <c r="P54">
        <f t="shared" si="9"/>
        <v>148180.43714901776</v>
      </c>
    </row>
    <row r="55" spans="1:19" x14ac:dyDescent="0.2">
      <c r="A55">
        <v>10000</v>
      </c>
      <c r="B55">
        <v>0</v>
      </c>
      <c r="C55">
        <v>1897.0189701897018</v>
      </c>
      <c r="D55">
        <v>24</v>
      </c>
      <c r="E55">
        <v>1056.6037735849056</v>
      </c>
      <c r="F55">
        <v>14</v>
      </c>
      <c r="G55">
        <v>442.47787610619469</v>
      </c>
      <c r="H55">
        <v>35</v>
      </c>
      <c r="I55">
        <v>187.5418620227729</v>
      </c>
      <c r="J55">
        <v>135</v>
      </c>
      <c r="K55">
        <v>72.187274414767444</v>
      </c>
      <c r="L55">
        <v>227</v>
      </c>
      <c r="M55">
        <v>24.441767488957556</v>
      </c>
      <c r="N55">
        <v>234</v>
      </c>
      <c r="O55">
        <v>3.608598441983466</v>
      </c>
      <c r="P55">
        <f t="shared" si="9"/>
        <v>54255.121303732609</v>
      </c>
      <c r="Q55" s="3">
        <f>P55+Q56</f>
        <v>126778.3422158967</v>
      </c>
      <c r="R55">
        <v>2985600</v>
      </c>
      <c r="S55">
        <f>Q55/R55*100</f>
        <v>4.2463271106610634</v>
      </c>
    </row>
    <row r="56" spans="1:19" x14ac:dyDescent="0.2">
      <c r="A56">
        <v>15000</v>
      </c>
      <c r="B56">
        <v>0</v>
      </c>
      <c r="C56">
        <v>1897.0189701897018</v>
      </c>
      <c r="D56">
        <v>12</v>
      </c>
      <c r="E56">
        <v>1056.6037735849056</v>
      </c>
      <c r="F56">
        <v>12</v>
      </c>
      <c r="G56">
        <v>442.47787610619469</v>
      </c>
      <c r="H56">
        <v>20</v>
      </c>
      <c r="I56">
        <v>187.5418620227729</v>
      </c>
      <c r="J56">
        <v>50</v>
      </c>
      <c r="K56">
        <v>72.187274414767444</v>
      </c>
      <c r="L56">
        <v>97</v>
      </c>
      <c r="M56">
        <v>24.441767488957556</v>
      </c>
      <c r="N56">
        <v>97</v>
      </c>
      <c r="O56">
        <v>3.608598441983466</v>
      </c>
      <c r="P56">
        <f t="shared" si="9"/>
        <v>28070.066252788311</v>
      </c>
      <c r="Q56" s="3">
        <f>P56+Q57</f>
        <v>72523.220912164092</v>
      </c>
      <c r="R56">
        <v>2985600</v>
      </c>
      <c r="S56">
        <f t="shared" ref="S56:S64" si="10">Q56/R56*100</f>
        <v>2.4291003788908121</v>
      </c>
    </row>
    <row r="57" spans="1:19" x14ac:dyDescent="0.2">
      <c r="A57">
        <v>20000</v>
      </c>
      <c r="B57">
        <v>0</v>
      </c>
      <c r="C57">
        <v>1897.0189701897018</v>
      </c>
      <c r="D57">
        <v>10</v>
      </c>
      <c r="E57">
        <v>1056.6037735849056</v>
      </c>
      <c r="F57">
        <v>2</v>
      </c>
      <c r="G57">
        <v>442.47787610619469</v>
      </c>
      <c r="H57">
        <v>10</v>
      </c>
      <c r="I57">
        <v>187.5418620227729</v>
      </c>
      <c r="J57">
        <v>29</v>
      </c>
      <c r="K57">
        <v>72.187274414767444</v>
      </c>
      <c r="L57">
        <v>50</v>
      </c>
      <c r="M57">
        <v>24.441767488957556</v>
      </c>
      <c r="N57">
        <v>42</v>
      </c>
      <c r="O57">
        <v>3.608598441983466</v>
      </c>
      <c r="P57">
        <f t="shared" si="9"/>
        <v>16793.492575328612</v>
      </c>
      <c r="Q57" s="3">
        <f>P57+Q58</f>
        <v>44453.154659375781</v>
      </c>
      <c r="R57">
        <v>2985600</v>
      </c>
      <c r="S57">
        <f t="shared" si="10"/>
        <v>1.4889186314099605</v>
      </c>
    </row>
    <row r="58" spans="1:19" x14ac:dyDescent="0.2">
      <c r="A58">
        <v>25000</v>
      </c>
      <c r="B58">
        <v>0</v>
      </c>
      <c r="C58">
        <v>1897.0189701897018</v>
      </c>
      <c r="D58">
        <v>1</v>
      </c>
      <c r="E58">
        <v>1056.6037735849056</v>
      </c>
      <c r="F58">
        <v>1</v>
      </c>
      <c r="G58">
        <v>442.47787610619469</v>
      </c>
      <c r="H58">
        <v>4</v>
      </c>
      <c r="I58">
        <v>187.5418620227729</v>
      </c>
      <c r="J58">
        <v>14</v>
      </c>
      <c r="K58">
        <v>72.187274414767444</v>
      </c>
      <c r="L58">
        <v>30</v>
      </c>
      <c r="M58">
        <v>24.441767488957556</v>
      </c>
      <c r="N58">
        <v>31</v>
      </c>
      <c r="O58">
        <v>3.608598441983466</v>
      </c>
      <c r="P58">
        <f t="shared" si="9"/>
        <v>4104.9905159591499</v>
      </c>
      <c r="Q58" s="3">
        <f>P58+Q59</f>
        <v>27659.662084047166</v>
      </c>
      <c r="R58">
        <v>2985600</v>
      </c>
      <c r="S58">
        <f t="shared" si="10"/>
        <v>0.92643562714520256</v>
      </c>
    </row>
    <row r="59" spans="1:19" x14ac:dyDescent="0.2">
      <c r="A59">
        <v>30000</v>
      </c>
      <c r="B59">
        <v>1</v>
      </c>
      <c r="C59">
        <v>1897.0189701897018</v>
      </c>
      <c r="D59">
        <v>5</v>
      </c>
      <c r="E59">
        <v>1056.6037735849056</v>
      </c>
      <c r="F59">
        <v>4</v>
      </c>
      <c r="G59">
        <v>442.47787610619469</v>
      </c>
      <c r="H59">
        <v>9</v>
      </c>
      <c r="I59">
        <v>187.5418620227729</v>
      </c>
      <c r="J59">
        <v>26</v>
      </c>
      <c r="K59">
        <v>72.187274414767444</v>
      </c>
      <c r="L59">
        <v>40</v>
      </c>
      <c r="M59">
        <v>24.441767488957556</v>
      </c>
      <c r="N59">
        <v>43</v>
      </c>
      <c r="O59">
        <v>3.608598441983466</v>
      </c>
      <c r="P59">
        <f t="shared" si="9"/>
        <v>13647.53566809151</v>
      </c>
      <c r="Q59" s="3">
        <f>P59+Q60</f>
        <v>23554.671568088015</v>
      </c>
      <c r="R59">
        <v>2985600</v>
      </c>
      <c r="S59">
        <f t="shared" si="10"/>
        <v>0.78894264362567046</v>
      </c>
    </row>
    <row r="60" spans="1:19" x14ac:dyDescent="0.2">
      <c r="A60">
        <v>40000</v>
      </c>
      <c r="B60">
        <v>0</v>
      </c>
      <c r="C60">
        <v>1897.0189701897018</v>
      </c>
      <c r="D60">
        <v>2</v>
      </c>
      <c r="E60">
        <v>1056.6037735849056</v>
      </c>
      <c r="F60">
        <v>0</v>
      </c>
      <c r="G60">
        <v>442.47787610619469</v>
      </c>
      <c r="H60">
        <v>2</v>
      </c>
      <c r="I60">
        <v>187.5418620227729</v>
      </c>
      <c r="J60">
        <v>6</v>
      </c>
      <c r="K60">
        <v>72.187274414767444</v>
      </c>
      <c r="L60">
        <v>9</v>
      </c>
      <c r="M60">
        <v>24.441767488957556</v>
      </c>
      <c r="N60">
        <v>25</v>
      </c>
      <c r="O60">
        <v>3.608598441983466</v>
      </c>
      <c r="P60">
        <f t="shared" si="9"/>
        <v>3231.6057861541663</v>
      </c>
      <c r="Q60" s="3">
        <f>P60+P61+P62+P63+P64</f>
        <v>9907.135899996505</v>
      </c>
      <c r="R60">
        <v>2985600</v>
      </c>
      <c r="S60">
        <f t="shared" si="10"/>
        <v>0.33183065045540278</v>
      </c>
    </row>
    <row r="61" spans="1:19" x14ac:dyDescent="0.2">
      <c r="A61">
        <v>50000</v>
      </c>
      <c r="B61">
        <v>0</v>
      </c>
      <c r="C61">
        <v>1897.0189701897018</v>
      </c>
      <c r="D61">
        <v>1</v>
      </c>
      <c r="E61">
        <v>1056.6037735849056</v>
      </c>
      <c r="F61">
        <v>0</v>
      </c>
      <c r="G61">
        <v>442.47787610619469</v>
      </c>
      <c r="H61">
        <v>1</v>
      </c>
      <c r="I61">
        <v>187.5418620227729</v>
      </c>
      <c r="J61">
        <v>6</v>
      </c>
      <c r="K61">
        <v>72.187274414767444</v>
      </c>
      <c r="L61">
        <v>10</v>
      </c>
      <c r="M61">
        <v>24.441767488957556</v>
      </c>
      <c r="N61">
        <v>13</v>
      </c>
      <c r="O61">
        <v>3.608598441983466</v>
      </c>
      <c r="P61">
        <f t="shared" si="9"/>
        <v>1968.5987367316436</v>
      </c>
      <c r="Q61" s="3">
        <f>P61+P62+P63+P64</f>
        <v>6675.5301138423401</v>
      </c>
      <c r="R61">
        <v>2985600</v>
      </c>
      <c r="S61">
        <f t="shared" si="10"/>
        <v>0.22359090681411908</v>
      </c>
    </row>
    <row r="62" spans="1:19" x14ac:dyDescent="0.2">
      <c r="A62">
        <v>60000</v>
      </c>
      <c r="B62">
        <v>0</v>
      </c>
      <c r="C62">
        <v>1897.0189701897018</v>
      </c>
      <c r="D62">
        <v>1</v>
      </c>
      <c r="E62">
        <v>1056.6037735849056</v>
      </c>
      <c r="F62">
        <v>0</v>
      </c>
      <c r="G62">
        <v>442.47787610619469</v>
      </c>
      <c r="H62">
        <v>0</v>
      </c>
      <c r="I62">
        <v>187.5418620227729</v>
      </c>
      <c r="J62">
        <v>2</v>
      </c>
      <c r="K62">
        <v>72.187274414767444</v>
      </c>
      <c r="L62">
        <v>5</v>
      </c>
      <c r="M62">
        <v>24.441767488957556</v>
      </c>
      <c r="N62">
        <v>4</v>
      </c>
      <c r="O62">
        <v>3.608598441983466</v>
      </c>
      <c r="P62">
        <f t="shared" si="9"/>
        <v>1337.6215536271623</v>
      </c>
      <c r="Q62" s="3">
        <f>P63+P62+P64</f>
        <v>4706.9313771106963</v>
      </c>
      <c r="R62">
        <v>2985600</v>
      </c>
      <c r="S62">
        <f t="shared" si="10"/>
        <v>0.15765445394931324</v>
      </c>
    </row>
    <row r="63" spans="1:19" x14ac:dyDescent="0.2">
      <c r="A63">
        <v>70000</v>
      </c>
      <c r="B63">
        <v>0</v>
      </c>
      <c r="C63">
        <v>1897.0189701897018</v>
      </c>
      <c r="D63">
        <v>1</v>
      </c>
      <c r="E63">
        <v>1056.6037735849056</v>
      </c>
      <c r="F63">
        <v>0</v>
      </c>
      <c r="G63">
        <v>442.47787610619469</v>
      </c>
      <c r="H63">
        <v>1</v>
      </c>
      <c r="I63">
        <v>187.5418620227729</v>
      </c>
      <c r="J63">
        <v>1</v>
      </c>
      <c r="K63">
        <v>72.187274414767444</v>
      </c>
      <c r="L63">
        <v>6</v>
      </c>
      <c r="M63">
        <v>24.441767488957556</v>
      </c>
      <c r="N63">
        <v>3</v>
      </c>
      <c r="O63">
        <v>3.608598441983466</v>
      </c>
      <c r="P63">
        <f t="shared" si="9"/>
        <v>1473.8093102821417</v>
      </c>
      <c r="Q63" s="3">
        <f>P64+P63</f>
        <v>3369.3098234835343</v>
      </c>
      <c r="R63">
        <v>2985600</v>
      </c>
      <c r="S63">
        <f t="shared" si="10"/>
        <v>0.11285201713168323</v>
      </c>
    </row>
    <row r="64" spans="1:19" x14ac:dyDescent="0.2">
      <c r="A64" t="s">
        <v>4</v>
      </c>
      <c r="B64">
        <v>0</v>
      </c>
      <c r="C64">
        <v>1897.0189701897018</v>
      </c>
      <c r="D64">
        <v>1</v>
      </c>
      <c r="E64">
        <v>1056.6037735849056</v>
      </c>
      <c r="F64">
        <v>0</v>
      </c>
      <c r="G64">
        <v>442.47787610619469</v>
      </c>
      <c r="H64">
        <v>3</v>
      </c>
      <c r="I64">
        <v>187.5418620227729</v>
      </c>
      <c r="J64">
        <v>3</v>
      </c>
      <c r="K64">
        <v>72.187274414767444</v>
      </c>
      <c r="L64">
        <v>2</v>
      </c>
      <c r="M64">
        <v>24.441767488957556</v>
      </c>
      <c r="N64">
        <v>3</v>
      </c>
      <c r="O64">
        <v>3.608598441983466</v>
      </c>
      <c r="P64">
        <f t="shared" si="9"/>
        <v>1895.5005132013923</v>
      </c>
      <c r="Q64" s="3">
        <f>P64</f>
        <v>1895.5005132013923</v>
      </c>
      <c r="R64">
        <v>2985600</v>
      </c>
      <c r="S64">
        <f t="shared" si="10"/>
        <v>6.3488093287827979E-2</v>
      </c>
    </row>
    <row r="65" spans="1:21" x14ac:dyDescent="0.2">
      <c r="A65" t="s">
        <v>3</v>
      </c>
      <c r="B65">
        <v>12</v>
      </c>
      <c r="C65">
        <v>1897.0189701897018</v>
      </c>
      <c r="D65">
        <v>120</v>
      </c>
      <c r="E65">
        <v>1056.6037735849056</v>
      </c>
      <c r="F65">
        <v>140</v>
      </c>
      <c r="G65">
        <v>442.47787610619469</v>
      </c>
      <c r="H65">
        <v>325</v>
      </c>
      <c r="I65">
        <v>187.5418620227729</v>
      </c>
      <c r="J65">
        <v>971</v>
      </c>
      <c r="K65">
        <v>72.187274414767444</v>
      </c>
      <c r="L65">
        <v>1444</v>
      </c>
      <c r="M65">
        <v>24.441767488957556</v>
      </c>
      <c r="N65">
        <v>1494</v>
      </c>
      <c r="O65">
        <v>3.608598441983466</v>
      </c>
      <c r="P65">
        <f t="shared" si="9"/>
        <v>383233.69006785064</v>
      </c>
    </row>
    <row r="69" spans="1:21" ht="15" x14ac:dyDescent="0.25">
      <c r="A69" s="2" t="s">
        <v>24</v>
      </c>
    </row>
    <row r="70" spans="1:21" x14ac:dyDescent="0.2">
      <c r="G70" t="s">
        <v>25</v>
      </c>
    </row>
    <row r="72" spans="1:21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  <c r="T72" s="2"/>
      <c r="U72" s="2"/>
    </row>
    <row r="73" spans="1:21" ht="15" x14ac:dyDescent="0.25">
      <c r="A73" t="s">
        <v>4</v>
      </c>
      <c r="B73" s="6">
        <v>5.0000000000000001E-4</v>
      </c>
      <c r="C73" s="27" t="s">
        <v>87</v>
      </c>
      <c r="K73">
        <v>1.6127429366441703</v>
      </c>
      <c r="L73">
        <v>1041.0514516206524</v>
      </c>
      <c r="M73">
        <f t="shared" ref="M73:M78" si="11">POWER(B73,1/K73)</f>
        <v>8.9775532333708045E-3</v>
      </c>
      <c r="N73">
        <f t="shared" ref="N73:N78" si="12">L73/M73</f>
        <v>115961.60162558775</v>
      </c>
      <c r="O73">
        <v>2985600</v>
      </c>
      <c r="P73">
        <f>O73*(K73/(1-K73))*POWER(L73,K73)*(-1)*POWER(N73,1-K73)</f>
        <v>455619881.01569474</v>
      </c>
      <c r="Q73">
        <f t="shared" ref="Q73:Q78" si="13">B73*O73</f>
        <v>1492.8</v>
      </c>
      <c r="R73">
        <f t="shared" ref="R73:R78" si="14">P73/Q73</f>
        <v>305211.60303838074</v>
      </c>
      <c r="S73">
        <f t="shared" ref="S73:S78" si="15">26.0699029126214*P73</f>
        <v>11877966063.139277</v>
      </c>
    </row>
    <row r="74" spans="1:21" ht="15" x14ac:dyDescent="0.25">
      <c r="A74" t="s">
        <v>90</v>
      </c>
      <c r="B74" s="6">
        <v>1E-3</v>
      </c>
      <c r="C74">
        <f>S64/100</f>
        <v>6.3488093287827983E-4</v>
      </c>
      <c r="D74">
        <f>S63/100</f>
        <v>1.1285201713168323E-3</v>
      </c>
      <c r="E74">
        <v>100000</v>
      </c>
      <c r="F74">
        <v>70000</v>
      </c>
      <c r="G74">
        <f>D74/C74</f>
        <v>1.7775304200751507</v>
      </c>
      <c r="H74">
        <f>LN(G74)</f>
        <v>0.57522499651514614</v>
      </c>
      <c r="I74">
        <f>E74/F74</f>
        <v>1.4285714285714286</v>
      </c>
      <c r="J74">
        <f>LN(I74)</f>
        <v>0.35667494393873239</v>
      </c>
      <c r="K74">
        <f>H74/J74</f>
        <v>1.6127429366441703</v>
      </c>
      <c r="L74">
        <f>F74*((D74)^(1/K74))</f>
        <v>1041.0514516206524</v>
      </c>
      <c r="M74">
        <f t="shared" si="11"/>
        <v>1.3797968087772299E-2</v>
      </c>
      <c r="N74">
        <f t="shared" si="12"/>
        <v>75449.620190325542</v>
      </c>
      <c r="O74">
        <v>2985600</v>
      </c>
      <c r="P74">
        <f>O74*(K74/(1-K74))*POWER(L74,K74)*(POWER(N73,1-K74)-POWER(N74,1-K74))+P73</f>
        <v>592891896.83303022</v>
      </c>
      <c r="Q74">
        <f t="shared" si="13"/>
        <v>2985.6</v>
      </c>
      <c r="R74">
        <f t="shared" si="14"/>
        <v>198583.83468416071</v>
      </c>
      <c r="S74">
        <f t="shared" si="15"/>
        <v>15456634188.117043</v>
      </c>
    </row>
    <row r="75" spans="1:21" ht="15" x14ac:dyDescent="0.25">
      <c r="A75" t="s">
        <v>94</v>
      </c>
      <c r="B75" s="6">
        <v>2.5000000000000001E-3</v>
      </c>
      <c r="C75">
        <f>S61/100</f>
        <v>2.2359090681411909E-3</v>
      </c>
      <c r="D75">
        <f>S60/100</f>
        <v>3.3183065045540279E-3</v>
      </c>
      <c r="E75">
        <v>50000</v>
      </c>
      <c r="F75">
        <v>40000</v>
      </c>
      <c r="G75">
        <f>D75/C75</f>
        <v>1.4840972523594984</v>
      </c>
      <c r="H75">
        <f>LN(G75)</f>
        <v>0.39480667653290619</v>
      </c>
      <c r="I75">
        <f>E75/F75</f>
        <v>1.25</v>
      </c>
      <c r="J75">
        <f>LN(I75)</f>
        <v>0.22314355131420976</v>
      </c>
      <c r="K75">
        <f>H75/J75</f>
        <v>1.7692945828265345</v>
      </c>
      <c r="L75">
        <f>F75*((D75)^(1/K75))</f>
        <v>1588.1423241611415</v>
      </c>
      <c r="M75">
        <f t="shared" si="11"/>
        <v>3.3831673808092384E-2</v>
      </c>
      <c r="N75">
        <f t="shared" si="12"/>
        <v>46942.469745060764</v>
      </c>
      <c r="O75">
        <v>2985600</v>
      </c>
      <c r="P75">
        <f t="shared" ref="P75:P78" si="16">O75*(K75/(1-K75))*POWER(L75,K75)*(POWER(N74,1-K75)-POWER(N75,1-K75))+P74</f>
        <v>839353483.48898554</v>
      </c>
      <c r="Q75">
        <f t="shared" si="13"/>
        <v>7464</v>
      </c>
      <c r="R75">
        <f t="shared" si="14"/>
        <v>112453.5749583314</v>
      </c>
      <c r="S75">
        <f t="shared" si="15"/>
        <v>21881863823.928425</v>
      </c>
    </row>
    <row r="76" spans="1:21" ht="15" x14ac:dyDescent="0.25">
      <c r="A76" t="s">
        <v>92</v>
      </c>
      <c r="B76" s="6">
        <v>5.0000000000000001E-3</v>
      </c>
      <c r="C76">
        <f>S60/100</f>
        <v>3.3183065045540279E-3</v>
      </c>
      <c r="D76">
        <f>S59/100</f>
        <v>7.8894264362567041E-3</v>
      </c>
      <c r="E76">
        <v>40000</v>
      </c>
      <c r="F76">
        <v>30000</v>
      </c>
      <c r="G76">
        <f>D76/C76</f>
        <v>2.3775460239822008</v>
      </c>
      <c r="H76">
        <f>LN(G76)</f>
        <v>0.86606887339187189</v>
      </c>
      <c r="I76">
        <f>E76/F76</f>
        <v>1.3333333333333333</v>
      </c>
      <c r="J76">
        <f>LN(I76)</f>
        <v>0.28768207245178085</v>
      </c>
      <c r="K76">
        <f>H76/J76</f>
        <v>3.0105069322212841</v>
      </c>
      <c r="L76">
        <f>F76*((D76)^(1/K76))</f>
        <v>6005.9663799178652</v>
      </c>
      <c r="M76">
        <f t="shared" si="11"/>
        <v>0.1720548555598613</v>
      </c>
      <c r="N76">
        <f t="shared" si="12"/>
        <v>34907.276289149944</v>
      </c>
      <c r="O76">
        <v>2985600</v>
      </c>
      <c r="P76">
        <f t="shared" si="16"/>
        <v>1189505337.5045922</v>
      </c>
      <c r="Q76">
        <f t="shared" si="13"/>
        <v>14928</v>
      </c>
      <c r="R76">
        <f t="shared" si="14"/>
        <v>79682.833434123269</v>
      </c>
      <c r="S76">
        <f t="shared" si="15"/>
        <v>31010288662.789669</v>
      </c>
    </row>
    <row r="77" spans="1:21" ht="15" x14ac:dyDescent="0.25">
      <c r="A77" t="s">
        <v>95</v>
      </c>
      <c r="B77" s="6">
        <v>0.01</v>
      </c>
      <c r="C77">
        <f>S58/100</f>
        <v>9.2643562714520254E-3</v>
      </c>
      <c r="D77">
        <f>S57/100</f>
        <v>1.4889186314099604E-2</v>
      </c>
      <c r="E77">
        <v>25000</v>
      </c>
      <c r="F77">
        <v>20000</v>
      </c>
      <c r="G77">
        <f>D77/C77</f>
        <v>1.6071474237212151</v>
      </c>
      <c r="H77">
        <f>LN(G77)</f>
        <v>0.47446082101761283</v>
      </c>
      <c r="I77">
        <f>E77/F77</f>
        <v>1.25</v>
      </c>
      <c r="J77">
        <f>LN(I77)</f>
        <v>0.22314355131420976</v>
      </c>
      <c r="K77">
        <f>H77/J77</f>
        <v>2.126258268380437</v>
      </c>
      <c r="L77">
        <f>F77*((D77)^(1/K77))</f>
        <v>2765.1162286874369</v>
      </c>
      <c r="M77">
        <f t="shared" si="11"/>
        <v>0.11465169903205397</v>
      </c>
      <c r="N77">
        <f t="shared" si="12"/>
        <v>24117.533817919037</v>
      </c>
      <c r="O77">
        <v>2985600</v>
      </c>
      <c r="P77">
        <f t="shared" si="16"/>
        <v>1652526285.6572685</v>
      </c>
      <c r="Q77">
        <f t="shared" si="13"/>
        <v>29856</v>
      </c>
      <c r="R77">
        <f t="shared" si="14"/>
        <v>55349.888989056424</v>
      </c>
      <c r="S77">
        <f t="shared" si="15"/>
        <v>43081199827.639854</v>
      </c>
    </row>
    <row r="78" spans="1:21" ht="15" x14ac:dyDescent="0.25">
      <c r="A78" t="s">
        <v>98</v>
      </c>
      <c r="B78" s="6">
        <v>0.02</v>
      </c>
      <c r="C78">
        <f>S57/100</f>
        <v>1.4889186314099604E-2</v>
      </c>
      <c r="D78">
        <f>S56/100</f>
        <v>2.4291003788908121E-2</v>
      </c>
      <c r="E78">
        <v>20000</v>
      </c>
      <c r="F78">
        <v>15000</v>
      </c>
      <c r="G78">
        <f>D78/C78</f>
        <v>1.6314527386835964</v>
      </c>
      <c r="H78">
        <f>LN(G78)</f>
        <v>0.48947086861669947</v>
      </c>
      <c r="I78">
        <f>E78/F78</f>
        <v>1.3333333333333333</v>
      </c>
      <c r="J78">
        <f>LN(I78)</f>
        <v>0.28768207245178085</v>
      </c>
      <c r="K78">
        <f>H78/J78</f>
        <v>1.7014298612533145</v>
      </c>
      <c r="L78">
        <f>F78*((D78)^(1/K78))</f>
        <v>1687.1412494954498</v>
      </c>
      <c r="M78">
        <f t="shared" si="11"/>
        <v>0.10033345295011606</v>
      </c>
      <c r="N78">
        <f t="shared" si="12"/>
        <v>16815.341243505944</v>
      </c>
      <c r="O78">
        <v>2985600</v>
      </c>
      <c r="P78">
        <f t="shared" si="16"/>
        <v>2196891211.8556633</v>
      </c>
      <c r="Q78">
        <f t="shared" si="13"/>
        <v>59712</v>
      </c>
      <c r="R78">
        <f t="shared" si="14"/>
        <v>36791.452502941844</v>
      </c>
      <c r="S78">
        <f t="shared" si="15"/>
        <v>57272740602.66832</v>
      </c>
    </row>
    <row r="81" spans="1:6" ht="15" x14ac:dyDescent="0.25">
      <c r="A81" s="15" t="s">
        <v>60</v>
      </c>
      <c r="B81" s="16"/>
    </row>
    <row r="82" spans="1:6" ht="15" x14ac:dyDescent="0.25">
      <c r="A82" s="2" t="s">
        <v>61</v>
      </c>
    </row>
    <row r="84" spans="1:6" ht="15" x14ac:dyDescent="0.25">
      <c r="A84" s="2" t="s">
        <v>27</v>
      </c>
      <c r="B84" s="2" t="s">
        <v>62</v>
      </c>
      <c r="C84" s="2" t="s">
        <v>134</v>
      </c>
      <c r="D84" s="17"/>
      <c r="E84" s="17"/>
      <c r="F84" s="2" t="s">
        <v>63</v>
      </c>
    </row>
    <row r="85" spans="1:6" x14ac:dyDescent="0.2">
      <c r="A85" s="18">
        <v>5.0000000000000001E-4</v>
      </c>
      <c r="B85">
        <f t="shared" ref="B85:B90" si="17">S32+S73</f>
        <v>18532760859.654839</v>
      </c>
      <c r="C85">
        <v>697465344827.58582</v>
      </c>
      <c r="F85">
        <f>B85/C85*100</f>
        <v>2.6571586670354432</v>
      </c>
    </row>
    <row r="86" spans="1:6" x14ac:dyDescent="0.2">
      <c r="A86" s="18">
        <v>1E-3</v>
      </c>
      <c r="B86">
        <f t="shared" si="17"/>
        <v>25851589641.89777</v>
      </c>
      <c r="C86">
        <v>697465344827.58582</v>
      </c>
      <c r="F86">
        <f t="shared" ref="F86:F90" si="18">B86/C86*100</f>
        <v>3.7065052527145004</v>
      </c>
    </row>
    <row r="87" spans="1:6" x14ac:dyDescent="0.2">
      <c r="A87" s="18">
        <v>2.5000000000000001E-3</v>
      </c>
      <c r="B87">
        <f t="shared" si="17"/>
        <v>41190929207.292679</v>
      </c>
      <c r="C87">
        <v>697465344827.58582</v>
      </c>
      <c r="F87">
        <f t="shared" si="18"/>
        <v>5.9058029926168043</v>
      </c>
    </row>
    <row r="88" spans="1:6" x14ac:dyDescent="0.2">
      <c r="A88" s="18">
        <v>5.0000000000000001E-3</v>
      </c>
      <c r="B88">
        <f t="shared" si="17"/>
        <v>58546593907.268951</v>
      </c>
      <c r="C88">
        <v>697465344827.58582</v>
      </c>
      <c r="F88">
        <f t="shared" si="18"/>
        <v>8.3941939684102493</v>
      </c>
    </row>
    <row r="89" spans="1:6" x14ac:dyDescent="0.2">
      <c r="A89" s="19">
        <v>0.01</v>
      </c>
      <c r="B89">
        <f t="shared" si="17"/>
        <v>86796257988.482513</v>
      </c>
      <c r="C89">
        <v>697465344827.58582</v>
      </c>
      <c r="F89">
        <f t="shared" si="18"/>
        <v>12.444526259571886</v>
      </c>
    </row>
    <row r="90" spans="1:6" x14ac:dyDescent="0.2">
      <c r="A90" s="19">
        <v>0.02</v>
      </c>
      <c r="B90">
        <f t="shared" si="17"/>
        <v>121834798183.98364</v>
      </c>
      <c r="C90">
        <v>697465344827.58582</v>
      </c>
      <c r="F90">
        <f t="shared" si="18"/>
        <v>17.468222484100817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opLeftCell="A67" workbookViewId="0">
      <selection activeCell="F89" sqref="F89"/>
    </sheetView>
  </sheetViews>
  <sheetFormatPr defaultRowHeight="12.75" x14ac:dyDescent="0.2"/>
  <cols>
    <col min="1" max="1" width="15.85546875" customWidth="1"/>
    <col min="2" max="2" width="13.7109375" customWidth="1"/>
    <col min="3" max="5" width="10" customWidth="1"/>
    <col min="6" max="7" width="9.5703125" customWidth="1"/>
    <col min="8" max="9" width="10" customWidth="1"/>
    <col min="10" max="13" width="11" customWidth="1"/>
    <col min="16" max="16" width="10.5703125" customWidth="1"/>
    <col min="17" max="17" width="9.42578125" customWidth="1"/>
    <col min="18" max="18" width="12.28515625" customWidth="1"/>
    <col min="19" max="19" width="11.5703125" customWidth="1"/>
    <col min="20" max="20" width="12.28515625" customWidth="1"/>
    <col min="21" max="21" width="12" customWidth="1"/>
    <col min="22" max="22" width="11.85546875" customWidth="1"/>
    <col min="23" max="23" width="12.140625" customWidth="1"/>
    <col min="24" max="24" width="11.42578125" customWidth="1"/>
    <col min="25" max="25" width="21.28515625" customWidth="1"/>
    <col min="26" max="26" width="12.855468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7" spans="1:19" x14ac:dyDescent="0.2">
      <c r="A7" t="s">
        <v>0</v>
      </c>
      <c r="B7" t="s">
        <v>1</v>
      </c>
      <c r="C7" t="s">
        <v>19</v>
      </c>
      <c r="D7" t="s">
        <v>5</v>
      </c>
      <c r="E7" t="s">
        <v>19</v>
      </c>
      <c r="F7" t="s">
        <v>6</v>
      </c>
      <c r="G7" t="s">
        <v>19</v>
      </c>
      <c r="H7" t="s">
        <v>7</v>
      </c>
      <c r="I7" t="s">
        <v>19</v>
      </c>
      <c r="J7" t="s">
        <v>8</v>
      </c>
      <c r="K7" t="s">
        <v>19</v>
      </c>
      <c r="L7" t="s">
        <v>9</v>
      </c>
      <c r="M7" t="s">
        <v>19</v>
      </c>
      <c r="N7" t="s">
        <v>2</v>
      </c>
      <c r="O7" t="s">
        <v>19</v>
      </c>
      <c r="P7" t="s">
        <v>20</v>
      </c>
      <c r="Q7" t="s">
        <v>21</v>
      </c>
      <c r="R7" t="s">
        <v>22</v>
      </c>
      <c r="S7" t="s">
        <v>23</v>
      </c>
    </row>
    <row r="8" spans="1:19" x14ac:dyDescent="0.2">
      <c r="A8">
        <v>1000</v>
      </c>
      <c r="B8">
        <v>1</v>
      </c>
      <c r="C8">
        <v>810.65431383902705</v>
      </c>
      <c r="D8">
        <v>2</v>
      </c>
      <c r="E8">
        <v>641.02564102564111</v>
      </c>
      <c r="F8">
        <v>2</v>
      </c>
      <c r="G8">
        <v>296.98769622401363</v>
      </c>
      <c r="H8">
        <v>2</v>
      </c>
      <c r="I8">
        <v>102.82021151586369</v>
      </c>
      <c r="J8">
        <v>2</v>
      </c>
      <c r="K8">
        <v>40.652767291944947</v>
      </c>
      <c r="L8">
        <v>3</v>
      </c>
      <c r="M8">
        <v>17.0946432714263</v>
      </c>
      <c r="N8">
        <v>5</v>
      </c>
      <c r="O8">
        <v>3.4512044226309948</v>
      </c>
      <c r="P8">
        <f>(B8*C8)+(D8*E8)+(F8*G8)+(H8*I8)+(J8*K8)+(L8*M8)+(N8*O8)</f>
        <v>3042.1668978813877</v>
      </c>
    </row>
    <row r="9" spans="1:19" x14ac:dyDescent="0.2">
      <c r="A9">
        <v>2000</v>
      </c>
      <c r="B9">
        <v>23</v>
      </c>
      <c r="C9">
        <v>810.65431383902705</v>
      </c>
      <c r="D9">
        <v>14</v>
      </c>
      <c r="E9">
        <v>641.02564102564111</v>
      </c>
      <c r="F9">
        <v>19</v>
      </c>
      <c r="G9">
        <v>296.98769622401363</v>
      </c>
      <c r="H9">
        <v>47</v>
      </c>
      <c r="I9">
        <v>102.82021151586369</v>
      </c>
      <c r="J9">
        <v>66</v>
      </c>
      <c r="K9">
        <v>40.652767291944947</v>
      </c>
      <c r="L9">
        <v>77</v>
      </c>
      <c r="M9">
        <v>17.0946432714263</v>
      </c>
      <c r="N9">
        <v>52</v>
      </c>
      <c r="O9">
        <v>3.4512044226309948</v>
      </c>
      <c r="P9">
        <f t="shared" ref="P9:P23" si="0">(B9*C9)+(D9*E9)+(F9*G9)+(H9*I9)+(J9*K9)+(L9*M9)+(N9*O9)</f>
        <v>42273.557165303457</v>
      </c>
    </row>
    <row r="10" spans="1:19" x14ac:dyDescent="0.2">
      <c r="A10">
        <v>3000</v>
      </c>
      <c r="B10">
        <v>14</v>
      </c>
      <c r="C10">
        <v>810.65431383902705</v>
      </c>
      <c r="D10">
        <v>21</v>
      </c>
      <c r="E10">
        <v>641.02564102564111</v>
      </c>
      <c r="F10">
        <v>17</v>
      </c>
      <c r="G10">
        <v>296.98769622401363</v>
      </c>
      <c r="H10">
        <v>64</v>
      </c>
      <c r="I10">
        <v>102.82021151586369</v>
      </c>
      <c r="J10">
        <v>109</v>
      </c>
      <c r="K10">
        <v>40.652767291944947</v>
      </c>
      <c r="L10">
        <v>118</v>
      </c>
      <c r="M10">
        <v>17.0946432714263</v>
      </c>
      <c r="N10">
        <v>71</v>
      </c>
      <c r="O10">
        <v>3.4512044226309948</v>
      </c>
      <c r="P10">
        <f t="shared" si="0"/>
        <v>43133.338282965458</v>
      </c>
    </row>
    <row r="11" spans="1:19" x14ac:dyDescent="0.2">
      <c r="A11">
        <v>4000</v>
      </c>
      <c r="B11">
        <v>8</v>
      </c>
      <c r="C11">
        <v>810.65431383902705</v>
      </c>
      <c r="D11">
        <v>15</v>
      </c>
      <c r="E11">
        <v>641.02564102564111</v>
      </c>
      <c r="F11">
        <v>21</v>
      </c>
      <c r="G11">
        <v>296.98769622401363</v>
      </c>
      <c r="H11">
        <v>38</v>
      </c>
      <c r="I11">
        <v>102.82021151586369</v>
      </c>
      <c r="J11">
        <v>87</v>
      </c>
      <c r="K11">
        <v>40.652767291944947</v>
      </c>
      <c r="L11">
        <v>98</v>
      </c>
      <c r="M11">
        <v>17.0946432714263</v>
      </c>
      <c r="N11">
        <v>62</v>
      </c>
      <c r="O11">
        <v>3.4512044226309948</v>
      </c>
      <c r="P11">
        <f t="shared" si="0"/>
        <v>31670.569253606045</v>
      </c>
    </row>
    <row r="12" spans="1:19" x14ac:dyDescent="0.2">
      <c r="A12">
        <v>5000</v>
      </c>
      <c r="B12">
        <v>34</v>
      </c>
      <c r="C12">
        <v>810.65431383902705</v>
      </c>
      <c r="D12">
        <v>80</v>
      </c>
      <c r="E12">
        <v>641.02564102564111</v>
      </c>
      <c r="F12">
        <v>246</v>
      </c>
      <c r="G12">
        <v>296.98769622401363</v>
      </c>
      <c r="H12">
        <v>515</v>
      </c>
      <c r="I12">
        <v>102.82021151586369</v>
      </c>
      <c r="J12">
        <v>971</v>
      </c>
      <c r="K12">
        <v>40.652767291944947</v>
      </c>
      <c r="L12">
        <v>927</v>
      </c>
      <c r="M12">
        <v>17.0946432714263</v>
      </c>
      <c r="N12">
        <v>576</v>
      </c>
      <c r="O12">
        <v>3.4512044226309948</v>
      </c>
      <c r="P12">
        <f t="shared" si="0"/>
        <v>262164.14525488153</v>
      </c>
    </row>
    <row r="13" spans="1:19" x14ac:dyDescent="0.2">
      <c r="A13">
        <v>10000</v>
      </c>
      <c r="B13">
        <v>6</v>
      </c>
      <c r="C13">
        <v>810.65431383902705</v>
      </c>
      <c r="D13">
        <v>29</v>
      </c>
      <c r="E13">
        <v>641.02564102564111</v>
      </c>
      <c r="F13">
        <v>86</v>
      </c>
      <c r="G13">
        <v>296.98769622401363</v>
      </c>
      <c r="H13">
        <v>219</v>
      </c>
      <c r="I13">
        <v>102.82021151586369</v>
      </c>
      <c r="J13">
        <v>384</v>
      </c>
      <c r="K13">
        <v>40.652767291944947</v>
      </c>
      <c r="L13">
        <v>405</v>
      </c>
      <c r="M13">
        <v>17.0946432714263</v>
      </c>
      <c r="N13">
        <v>274</v>
      </c>
      <c r="O13">
        <v>3.4512044226309948</v>
      </c>
      <c r="P13">
        <f t="shared" si="0"/>
        <v>94991.860846852491</v>
      </c>
      <c r="Q13" s="3">
        <f>P13+Q14</f>
        <v>246191.46091416205</v>
      </c>
      <c r="R13">
        <v>3080500</v>
      </c>
      <c r="S13">
        <f>Q13/R13*100</f>
        <v>7.9919318589242669</v>
      </c>
    </row>
    <row r="14" spans="1:19" x14ac:dyDescent="0.2">
      <c r="A14">
        <v>15000</v>
      </c>
      <c r="B14">
        <v>4</v>
      </c>
      <c r="C14">
        <v>810.65431383902705</v>
      </c>
      <c r="D14">
        <v>17</v>
      </c>
      <c r="E14">
        <v>641.02564102564111</v>
      </c>
      <c r="F14">
        <v>42</v>
      </c>
      <c r="G14">
        <v>296.98769622401363</v>
      </c>
      <c r="H14">
        <v>114</v>
      </c>
      <c r="I14">
        <v>102.82021151586369</v>
      </c>
      <c r="J14">
        <v>229</v>
      </c>
      <c r="K14">
        <v>40.652767291944947</v>
      </c>
      <c r="L14">
        <v>274</v>
      </c>
      <c r="M14">
        <v>17.0946432714263</v>
      </c>
      <c r="N14">
        <v>155</v>
      </c>
      <c r="O14">
        <v>3.4512044226309948</v>
      </c>
      <c r="P14">
        <f t="shared" si="0"/>
        <v>52863.393158743042</v>
      </c>
      <c r="Q14" s="3">
        <f>P14+Q15</f>
        <v>151199.60006730954</v>
      </c>
      <c r="R14">
        <v>3080500</v>
      </c>
      <c r="S14">
        <f t="shared" ref="S14:S22" si="1">Q14/R14*100</f>
        <v>4.9082811253793066</v>
      </c>
    </row>
    <row r="15" spans="1:19" x14ac:dyDescent="0.2">
      <c r="A15">
        <v>20000</v>
      </c>
      <c r="B15">
        <v>1</v>
      </c>
      <c r="C15">
        <v>810.65431383902705</v>
      </c>
      <c r="D15">
        <v>4</v>
      </c>
      <c r="E15">
        <v>641.02564102564111</v>
      </c>
      <c r="F15">
        <v>31</v>
      </c>
      <c r="G15">
        <v>296.98769622401363</v>
      </c>
      <c r="H15">
        <v>73</v>
      </c>
      <c r="I15">
        <v>102.82021151586369</v>
      </c>
      <c r="J15">
        <v>168</v>
      </c>
      <c r="K15">
        <v>40.652767291944947</v>
      </c>
      <c r="L15">
        <v>162</v>
      </c>
      <c r="M15">
        <v>17.0946432714263</v>
      </c>
      <c r="N15">
        <v>115</v>
      </c>
      <c r="O15">
        <v>3.4512044226309948</v>
      </c>
      <c r="P15">
        <f t="shared" si="0"/>
        <v>30083.136525164438</v>
      </c>
      <c r="Q15" s="3">
        <f>P15+Q16</f>
        <v>98336.206908566499</v>
      </c>
      <c r="R15">
        <v>3080500</v>
      </c>
      <c r="S15">
        <f t="shared" si="1"/>
        <v>3.1922157736914945</v>
      </c>
    </row>
    <row r="16" spans="1:19" x14ac:dyDescent="0.2">
      <c r="A16">
        <v>25000</v>
      </c>
      <c r="B16">
        <v>2</v>
      </c>
      <c r="C16">
        <v>810.65431383902705</v>
      </c>
      <c r="D16">
        <v>6</v>
      </c>
      <c r="E16">
        <v>641.02564102564111</v>
      </c>
      <c r="F16">
        <v>15</v>
      </c>
      <c r="G16">
        <v>296.98769622401363</v>
      </c>
      <c r="H16">
        <v>52</v>
      </c>
      <c r="I16">
        <v>102.82021151586369</v>
      </c>
      <c r="J16">
        <v>97</v>
      </c>
      <c r="K16">
        <v>40.652767291944947</v>
      </c>
      <c r="L16">
        <v>82</v>
      </c>
      <c r="M16">
        <v>17.0946432714263</v>
      </c>
      <c r="N16">
        <v>70</v>
      </c>
      <c r="O16">
        <v>3.4512044226309948</v>
      </c>
      <c r="P16">
        <f t="shared" si="0"/>
        <v>20855.592401176807</v>
      </c>
      <c r="Q16" s="3">
        <f>P16+Q17</f>
        <v>68253.070383402068</v>
      </c>
      <c r="R16">
        <v>3080500</v>
      </c>
      <c r="S16">
        <f t="shared" si="1"/>
        <v>2.2156490953871795</v>
      </c>
    </row>
    <row r="17" spans="1:21" x14ac:dyDescent="0.2">
      <c r="A17">
        <v>30000</v>
      </c>
      <c r="B17">
        <v>1</v>
      </c>
      <c r="C17">
        <v>810.65431383902705</v>
      </c>
      <c r="D17">
        <v>3</v>
      </c>
      <c r="E17">
        <v>641.02564102564111</v>
      </c>
      <c r="F17">
        <v>12</v>
      </c>
      <c r="G17">
        <v>296.98769622401363</v>
      </c>
      <c r="H17">
        <v>64</v>
      </c>
      <c r="I17">
        <v>102.82021151586369</v>
      </c>
      <c r="J17">
        <v>125</v>
      </c>
      <c r="K17">
        <v>40.652767291944947</v>
      </c>
      <c r="L17">
        <v>119</v>
      </c>
      <c r="M17">
        <v>17.0946432714263</v>
      </c>
      <c r="N17">
        <v>102</v>
      </c>
      <c r="O17">
        <v>3.4512044226309948</v>
      </c>
      <c r="P17">
        <f t="shared" si="0"/>
        <v>20345.958440520601</v>
      </c>
      <c r="Q17" s="3">
        <f>P17+Q18</f>
        <v>47397.47798222526</v>
      </c>
      <c r="R17">
        <v>3080500</v>
      </c>
      <c r="S17">
        <f t="shared" si="1"/>
        <v>1.5386293777706626</v>
      </c>
    </row>
    <row r="18" spans="1:21" x14ac:dyDescent="0.2">
      <c r="A18">
        <v>40000</v>
      </c>
      <c r="C18">
        <v>810.65431383902705</v>
      </c>
      <c r="D18">
        <v>3</v>
      </c>
      <c r="E18">
        <v>641.02564102564111</v>
      </c>
      <c r="F18">
        <v>13</v>
      </c>
      <c r="G18">
        <v>296.98769622401363</v>
      </c>
      <c r="H18">
        <v>20</v>
      </c>
      <c r="I18">
        <v>102.82021151586369</v>
      </c>
      <c r="J18">
        <v>46</v>
      </c>
      <c r="K18">
        <v>40.652767291944947</v>
      </c>
      <c r="L18">
        <v>62</v>
      </c>
      <c r="M18">
        <v>17.0946432714263</v>
      </c>
      <c r="N18">
        <v>48</v>
      </c>
      <c r="O18">
        <v>3.4512044226309948</v>
      </c>
      <c r="P18">
        <f t="shared" si="0"/>
        <v>10935.874194850559</v>
      </c>
      <c r="Q18" s="3">
        <f>P18+P19+P20+P21+P22</f>
        <v>27051.519541704656</v>
      </c>
      <c r="R18">
        <v>3080500</v>
      </c>
      <c r="S18">
        <f t="shared" si="1"/>
        <v>0.87815353162488741</v>
      </c>
    </row>
    <row r="19" spans="1:21" x14ac:dyDescent="0.2">
      <c r="A19">
        <v>50000</v>
      </c>
      <c r="C19">
        <v>810.65431383902705</v>
      </c>
      <c r="E19">
        <v>641.02564102564111</v>
      </c>
      <c r="F19">
        <v>9</v>
      </c>
      <c r="G19">
        <v>296.98769622401363</v>
      </c>
      <c r="H19">
        <v>13</v>
      </c>
      <c r="I19">
        <v>102.82021151586369</v>
      </c>
      <c r="J19">
        <v>37</v>
      </c>
      <c r="K19">
        <v>40.652767291944947</v>
      </c>
      <c r="L19">
        <v>54</v>
      </c>
      <c r="M19">
        <v>17.0946432714263</v>
      </c>
      <c r="N19">
        <v>32</v>
      </c>
      <c r="O19">
        <v>3.4512044226309948</v>
      </c>
      <c r="P19">
        <f t="shared" si="0"/>
        <v>6547.2536837055268</v>
      </c>
      <c r="Q19" s="3">
        <f>P19+P20+P21+P22</f>
        <v>16115.645346854097</v>
      </c>
      <c r="R19">
        <v>3080500</v>
      </c>
      <c r="S19">
        <f t="shared" si="1"/>
        <v>0.52315031153559799</v>
      </c>
    </row>
    <row r="20" spans="1:21" x14ac:dyDescent="0.2">
      <c r="A20">
        <v>60000</v>
      </c>
      <c r="C20">
        <v>810.65431383902705</v>
      </c>
      <c r="D20">
        <v>1</v>
      </c>
      <c r="E20">
        <v>641.02564102564111</v>
      </c>
      <c r="F20">
        <v>4</v>
      </c>
      <c r="G20">
        <v>296.98769622401363</v>
      </c>
      <c r="H20">
        <v>7</v>
      </c>
      <c r="I20">
        <v>102.82021151586369</v>
      </c>
      <c r="J20">
        <v>21</v>
      </c>
      <c r="K20">
        <v>40.652767291944947</v>
      </c>
      <c r="L20">
        <v>19</v>
      </c>
      <c r="M20">
        <v>17.0946432714263</v>
      </c>
      <c r="N20">
        <v>17</v>
      </c>
      <c r="O20">
        <v>3.4512044226309948</v>
      </c>
      <c r="P20">
        <f t="shared" si="0"/>
        <v>3785.8947170054116</v>
      </c>
      <c r="Q20" s="3">
        <f>P21+P20+P22</f>
        <v>9568.3916631485699</v>
      </c>
      <c r="R20">
        <v>3080500</v>
      </c>
      <c r="S20">
        <f t="shared" si="1"/>
        <v>0.31061164301732092</v>
      </c>
    </row>
    <row r="21" spans="1:21" x14ac:dyDescent="0.2">
      <c r="A21">
        <v>70000</v>
      </c>
      <c r="C21">
        <v>810.65431383902705</v>
      </c>
      <c r="D21">
        <v>1</v>
      </c>
      <c r="E21">
        <v>641.02564102564111</v>
      </c>
      <c r="F21">
        <v>2</v>
      </c>
      <c r="G21">
        <v>296.98769622401363</v>
      </c>
      <c r="H21">
        <v>7</v>
      </c>
      <c r="I21">
        <v>102.82021151586369</v>
      </c>
      <c r="J21">
        <v>31</v>
      </c>
      <c r="K21">
        <v>40.652767291944947</v>
      </c>
      <c r="L21">
        <v>22</v>
      </c>
      <c r="M21">
        <v>17.0946432714263</v>
      </c>
      <c r="N21">
        <v>23</v>
      </c>
      <c r="O21">
        <v>3.4512044226309948</v>
      </c>
      <c r="P21">
        <f t="shared" si="0"/>
        <v>3670.4381538268995</v>
      </c>
      <c r="Q21" s="3">
        <f>P22+P21</f>
        <v>5782.4969461431574</v>
      </c>
      <c r="R21">
        <v>3080500</v>
      </c>
      <c r="S21">
        <f t="shared" si="1"/>
        <v>0.187712934463339</v>
      </c>
    </row>
    <row r="22" spans="1:21" x14ac:dyDescent="0.2">
      <c r="A22" t="s">
        <v>4</v>
      </c>
      <c r="C22">
        <v>810.65431383902705</v>
      </c>
      <c r="E22">
        <v>641.02564102564111</v>
      </c>
      <c r="F22">
        <v>2</v>
      </c>
      <c r="G22">
        <v>296.98769622401363</v>
      </c>
      <c r="H22">
        <v>6</v>
      </c>
      <c r="I22">
        <v>102.82021151586369</v>
      </c>
      <c r="J22">
        <v>14</v>
      </c>
      <c r="K22">
        <v>40.652767291944947</v>
      </c>
      <c r="L22">
        <v>17</v>
      </c>
      <c r="M22">
        <v>17.0946432714263</v>
      </c>
      <c r="N22">
        <v>12</v>
      </c>
      <c r="O22">
        <v>3.4512044226309948</v>
      </c>
      <c r="P22">
        <f t="shared" si="0"/>
        <v>2112.058792316258</v>
      </c>
      <c r="Q22" s="3">
        <f>P22</f>
        <v>2112.058792316258</v>
      </c>
      <c r="R22">
        <v>3080500</v>
      </c>
      <c r="S22">
        <f t="shared" si="1"/>
        <v>6.8562207184426488E-2</v>
      </c>
    </row>
    <row r="23" spans="1:21" x14ac:dyDescent="0.2">
      <c r="A23" t="s">
        <v>3</v>
      </c>
      <c r="B23">
        <f t="shared" ref="B23:N23" si="2">SUM(B8:B22)</f>
        <v>94</v>
      </c>
      <c r="C23">
        <v>810.65431383902705</v>
      </c>
      <c r="D23">
        <f t="shared" si="2"/>
        <v>196</v>
      </c>
      <c r="E23">
        <v>641.02564102564111</v>
      </c>
      <c r="F23">
        <f t="shared" si="2"/>
        <v>521</v>
      </c>
      <c r="G23">
        <v>296.98769622401363</v>
      </c>
      <c r="H23">
        <f t="shared" si="2"/>
        <v>1241</v>
      </c>
      <c r="I23">
        <v>102.82021151586369</v>
      </c>
      <c r="J23">
        <f t="shared" si="2"/>
        <v>2387</v>
      </c>
      <c r="K23">
        <v>40.652767291944947</v>
      </c>
      <c r="L23">
        <f t="shared" si="2"/>
        <v>2439</v>
      </c>
      <c r="M23">
        <v>17.0946432714263</v>
      </c>
      <c r="N23">
        <f t="shared" si="2"/>
        <v>1614</v>
      </c>
      <c r="O23">
        <v>3.4512044226309948</v>
      </c>
      <c r="P23">
        <f t="shared" si="0"/>
        <v>628475.23776879977</v>
      </c>
    </row>
    <row r="29" spans="1:21" ht="15" x14ac:dyDescent="0.25">
      <c r="A29" s="2" t="s">
        <v>24</v>
      </c>
    </row>
    <row r="30" spans="1:21" x14ac:dyDescent="0.2">
      <c r="G30" t="s">
        <v>25</v>
      </c>
    </row>
    <row r="32" spans="1:21" ht="15" x14ac:dyDescent="0.25">
      <c r="A32" t="s">
        <v>26</v>
      </c>
      <c r="B32" s="2" t="s">
        <v>27</v>
      </c>
      <c r="C32" t="s">
        <v>28</v>
      </c>
      <c r="D32" t="s">
        <v>29</v>
      </c>
      <c r="E32" t="s">
        <v>30</v>
      </c>
      <c r="F32" t="s">
        <v>31</v>
      </c>
      <c r="G32" t="s">
        <v>32</v>
      </c>
      <c r="H32" t="s">
        <v>33</v>
      </c>
      <c r="I32" t="s">
        <v>34</v>
      </c>
      <c r="J32" t="s">
        <v>35</v>
      </c>
      <c r="K32" s="2" t="s">
        <v>36</v>
      </c>
      <c r="L32" s="2" t="s">
        <v>37</v>
      </c>
      <c r="M32" s="5" t="s">
        <v>38</v>
      </c>
      <c r="N32" s="2" t="s">
        <v>39</v>
      </c>
      <c r="O32" s="5" t="s">
        <v>40</v>
      </c>
      <c r="P32" s="2" t="s">
        <v>41</v>
      </c>
      <c r="Q32" s="5" t="s">
        <v>42</v>
      </c>
      <c r="R32" s="2" t="s">
        <v>43</v>
      </c>
      <c r="S32" s="2" t="s">
        <v>84</v>
      </c>
      <c r="T32" s="2"/>
      <c r="U32" s="2"/>
    </row>
    <row r="33" spans="1:19" ht="15" x14ac:dyDescent="0.25">
      <c r="A33" t="s">
        <v>4</v>
      </c>
      <c r="B33" s="6">
        <v>5.0000000000000001E-4</v>
      </c>
      <c r="C33" s="27" t="s">
        <v>87</v>
      </c>
      <c r="K33">
        <v>2.823782274003229</v>
      </c>
      <c r="L33">
        <v>7577.8680545805182</v>
      </c>
      <c r="M33">
        <f t="shared" ref="M33:M38" si="3">POWER(B33,1/K33)</f>
        <v>6.7762575006185016E-2</v>
      </c>
      <c r="N33">
        <f t="shared" ref="N33:N38" si="4">L33/M33</f>
        <v>111829.69439825523</v>
      </c>
      <c r="O33">
        <v>3080500</v>
      </c>
      <c r="P33">
        <f>O33*(K33/(1-K33))*POWER(L33,K33)*(-1)*POWER(N33,1-K33)</f>
        <v>266689902.67298302</v>
      </c>
      <c r="Q33">
        <f t="shared" ref="Q33:Q38" si="5">B33*O33</f>
        <v>1540.25</v>
      </c>
      <c r="R33">
        <f t="shared" ref="R33:R38" si="6">P33/Q33</f>
        <v>173147.15317187665</v>
      </c>
      <c r="S33">
        <f t="shared" ref="S33:S38" si="7">26.5028790786948*P33</f>
        <v>7068050242.0509539</v>
      </c>
    </row>
    <row r="34" spans="1:19" ht="15" x14ac:dyDescent="0.25">
      <c r="A34" t="s">
        <v>90</v>
      </c>
      <c r="B34" s="6">
        <v>1E-3</v>
      </c>
      <c r="C34">
        <f>S22/100</f>
        <v>6.856220718442649E-4</v>
      </c>
      <c r="D34">
        <f>S21/100</f>
        <v>1.8771293446333901E-3</v>
      </c>
      <c r="E34">
        <v>100000</v>
      </c>
      <c r="F34">
        <v>70000</v>
      </c>
      <c r="G34">
        <f>D34/C34</f>
        <v>2.7378484761788258</v>
      </c>
      <c r="H34">
        <f>LN(G34)</f>
        <v>1.007172384275288</v>
      </c>
      <c r="I34">
        <f>E34/F34</f>
        <v>1.4285714285714286</v>
      </c>
      <c r="J34">
        <f>LN(I34)</f>
        <v>0.35667494393873239</v>
      </c>
      <c r="K34">
        <f>H34/J34</f>
        <v>2.823782274003229</v>
      </c>
      <c r="L34">
        <f>F34*((D34)^(1/K34))</f>
        <v>7577.8680545805182</v>
      </c>
      <c r="M34">
        <f t="shared" si="3"/>
        <v>8.6615405727631767E-2</v>
      </c>
      <c r="N34">
        <f t="shared" si="4"/>
        <v>87488.686232212058</v>
      </c>
      <c r="O34">
        <v>3080500</v>
      </c>
      <c r="P34">
        <f>O34*(K34/(1-K34))*POWER(L34,K34)*(POWER(N33,1-K34)-POWER(N34,1-K34))+P33</f>
        <v>417283608.64804053</v>
      </c>
      <c r="Q34">
        <f t="shared" si="5"/>
        <v>3080.5</v>
      </c>
      <c r="R34">
        <f t="shared" si="6"/>
        <v>135459.70090830728</v>
      </c>
      <c r="S34">
        <f t="shared" si="7"/>
        <v>11059217021.520422</v>
      </c>
    </row>
    <row r="35" spans="1:19" ht="15" x14ac:dyDescent="0.25">
      <c r="A35" t="s">
        <v>97</v>
      </c>
      <c r="B35" s="6">
        <v>2.5000000000000001E-3</v>
      </c>
      <c r="C35">
        <f>S21/100</f>
        <v>1.8771293446333901E-3</v>
      </c>
      <c r="D35">
        <f>S20/100</f>
        <v>3.106116430173209E-3</v>
      </c>
      <c r="E35">
        <v>70000</v>
      </c>
      <c r="F35">
        <v>60000</v>
      </c>
      <c r="G35">
        <f>D35/C35</f>
        <v>1.6547162501366384</v>
      </c>
      <c r="H35">
        <f>LN(G35)</f>
        <v>0.50362954406128657</v>
      </c>
      <c r="I35">
        <f>E35/F35</f>
        <v>1.1666666666666667</v>
      </c>
      <c r="J35">
        <f>LN(I35)</f>
        <v>0.15415067982725836</v>
      </c>
      <c r="K35">
        <f>H35/J35</f>
        <v>3.267125027444933</v>
      </c>
      <c r="L35">
        <f>F35*((D35)^(1/K35))</f>
        <v>10246.381065799018</v>
      </c>
      <c r="M35">
        <f t="shared" si="3"/>
        <v>0.15979484866423724</v>
      </c>
      <c r="N35">
        <f t="shared" si="4"/>
        <v>64122.098750059406</v>
      </c>
      <c r="O35">
        <v>3080500</v>
      </c>
      <c r="P35">
        <f>O35*(K35/(1-K35))*POWER(L35,K35)*(POWER(N34,1-K35)-POWER(N35,1-K35))+P34</f>
        <v>777099013.38800883</v>
      </c>
      <c r="Q35">
        <f t="shared" si="5"/>
        <v>7701.25</v>
      </c>
      <c r="R35">
        <f t="shared" si="6"/>
        <v>100905.56901645951</v>
      </c>
      <c r="S35">
        <f t="shared" si="7"/>
        <v>20595361183.99543</v>
      </c>
    </row>
    <row r="36" spans="1:19" ht="15" x14ac:dyDescent="0.25">
      <c r="A36" t="s">
        <v>91</v>
      </c>
      <c r="B36" s="6">
        <v>5.0000000000000001E-3</v>
      </c>
      <c r="C36">
        <f>S20/100</f>
        <v>3.106116430173209E-3</v>
      </c>
      <c r="D36">
        <f>S19/100</f>
        <v>5.2315031153559802E-3</v>
      </c>
      <c r="E36">
        <v>60000</v>
      </c>
      <c r="F36">
        <v>50000</v>
      </c>
      <c r="G36">
        <f>D36/C36</f>
        <v>1.6842585372964436</v>
      </c>
      <c r="H36">
        <f>LN(G36)</f>
        <v>0.52132542974674634</v>
      </c>
      <c r="I36">
        <f>E36/F36</f>
        <v>1.2</v>
      </c>
      <c r="J36">
        <f>LN(I36)</f>
        <v>0.18232155679395459</v>
      </c>
      <c r="K36">
        <f>H36/J36</f>
        <v>2.8593735097156237</v>
      </c>
      <c r="L36">
        <f>F36*((D36)^(1/K36))</f>
        <v>7963.6503819168984</v>
      </c>
      <c r="M36">
        <f t="shared" si="3"/>
        <v>0.15677174008686051</v>
      </c>
      <c r="N36">
        <f t="shared" si="4"/>
        <v>50797.741847507597</v>
      </c>
      <c r="O36">
        <v>3080500</v>
      </c>
      <c r="P36">
        <f t="shared" ref="P36:P38" si="8">O36*(K36/(1-K36))*POWER(L36,K36)*(POWER(N35,1-K36)-POWER(N36,1-K36))+P35</f>
        <v>1200044462.2127078</v>
      </c>
      <c r="Q36">
        <f t="shared" si="5"/>
        <v>15402.5</v>
      </c>
      <c r="R36">
        <f t="shared" si="6"/>
        <v>77912.316975342168</v>
      </c>
      <c r="S36">
        <f t="shared" si="7"/>
        <v>31804633271.080727</v>
      </c>
    </row>
    <row r="37" spans="1:19" ht="15" x14ac:dyDescent="0.25">
      <c r="A37" t="s">
        <v>92</v>
      </c>
      <c r="B37" s="6">
        <v>0.01</v>
      </c>
      <c r="C37">
        <f>S18/100</f>
        <v>8.7815353162488743E-3</v>
      </c>
      <c r="D37">
        <f>S17/100</f>
        <v>1.5386293777706625E-2</v>
      </c>
      <c r="E37">
        <v>40000</v>
      </c>
      <c r="F37">
        <v>30000</v>
      </c>
      <c r="G37">
        <f>D37/C37</f>
        <v>1.7521188748437493</v>
      </c>
      <c r="H37">
        <f>LN(G37)</f>
        <v>0.56082584115064193</v>
      </c>
      <c r="I37">
        <f>E37/F37</f>
        <v>1.3333333333333333</v>
      </c>
      <c r="J37">
        <f>LN(I37)</f>
        <v>0.28768207245178085</v>
      </c>
      <c r="K37">
        <f>H37/J37</f>
        <v>1.9494639911725589</v>
      </c>
      <c r="L37">
        <f>F37*((D37)^(1/K37))</f>
        <v>3525.2569502587212</v>
      </c>
      <c r="M37">
        <f t="shared" si="3"/>
        <v>9.4205654761487248E-2</v>
      </c>
      <c r="N37">
        <f t="shared" si="4"/>
        <v>37420.863526548106</v>
      </c>
      <c r="O37">
        <v>3080500</v>
      </c>
      <c r="P37">
        <f t="shared" si="8"/>
        <v>1796184335.116282</v>
      </c>
      <c r="Q37">
        <f t="shared" si="5"/>
        <v>30805</v>
      </c>
      <c r="R37">
        <f t="shared" si="6"/>
        <v>58308.207599944231</v>
      </c>
      <c r="S37">
        <f t="shared" si="7"/>
        <v>47604056236.632637</v>
      </c>
    </row>
    <row r="38" spans="1:19" ht="15" x14ac:dyDescent="0.25">
      <c r="A38" t="s">
        <v>93</v>
      </c>
      <c r="B38" s="6">
        <v>0.02</v>
      </c>
      <c r="C38">
        <f>S17/100</f>
        <v>1.5386293777706625E-2</v>
      </c>
      <c r="D38">
        <f>S16/100</f>
        <v>2.2156490953871795E-2</v>
      </c>
      <c r="E38">
        <v>30000</v>
      </c>
      <c r="F38">
        <v>25000</v>
      </c>
      <c r="G38">
        <f>D38/C38</f>
        <v>1.4400148127923169</v>
      </c>
      <c r="H38">
        <f>LN(G38)</f>
        <v>0.36465340019633308</v>
      </c>
      <c r="I38">
        <f>E38/F38</f>
        <v>1.2</v>
      </c>
      <c r="J38">
        <f>LN(I38)</f>
        <v>0.18232155679395459</v>
      </c>
      <c r="K38">
        <f>H38/J38</f>
        <v>2.000056420143645</v>
      </c>
      <c r="L38">
        <f>F38*((D38)^(1/K38))</f>
        <v>3721.4641077177134</v>
      </c>
      <c r="M38">
        <f t="shared" si="3"/>
        <v>0.14142915975329817</v>
      </c>
      <c r="N38">
        <f t="shared" si="4"/>
        <v>26313.273119979262</v>
      </c>
      <c r="O38">
        <v>3080500</v>
      </c>
      <c r="P38">
        <f t="shared" si="8"/>
        <v>2758616921.8187685</v>
      </c>
      <c r="Q38">
        <f t="shared" si="5"/>
        <v>61610</v>
      </c>
      <c r="R38">
        <f t="shared" si="6"/>
        <v>44775.473491620978</v>
      </c>
      <c r="S38">
        <f t="shared" si="7"/>
        <v>73111290703.404083</v>
      </c>
    </row>
    <row r="46" spans="1:19" ht="15.75" x14ac:dyDescent="0.25">
      <c r="A46" s="1" t="s">
        <v>51</v>
      </c>
    </row>
    <row r="48" spans="1:19" ht="15" x14ac:dyDescent="0.25">
      <c r="A48" s="2" t="s">
        <v>18</v>
      </c>
    </row>
    <row r="50" spans="1:19" x14ac:dyDescent="0.2">
      <c r="A50" t="s">
        <v>0</v>
      </c>
      <c r="B50" t="s">
        <v>52</v>
      </c>
      <c r="C50" t="s">
        <v>19</v>
      </c>
      <c r="D50" t="s">
        <v>53</v>
      </c>
      <c r="E50" t="s">
        <v>19</v>
      </c>
      <c r="F50" t="s">
        <v>54</v>
      </c>
      <c r="G50" t="s">
        <v>19</v>
      </c>
      <c r="H50" t="s">
        <v>55</v>
      </c>
      <c r="I50" t="s">
        <v>19</v>
      </c>
      <c r="J50" t="s">
        <v>56</v>
      </c>
      <c r="K50" t="s">
        <v>19</v>
      </c>
      <c r="L50" t="s">
        <v>57</v>
      </c>
      <c r="M50" t="s">
        <v>19</v>
      </c>
      <c r="N50" t="s">
        <v>58</v>
      </c>
      <c r="O50" t="s">
        <v>19</v>
      </c>
      <c r="P50" t="s">
        <v>20</v>
      </c>
      <c r="Q50" t="s">
        <v>21</v>
      </c>
      <c r="R50" t="s">
        <v>22</v>
      </c>
      <c r="S50" t="s">
        <v>23</v>
      </c>
    </row>
    <row r="51" spans="1:19" x14ac:dyDescent="0.2">
      <c r="A51">
        <v>1000</v>
      </c>
      <c r="B51">
        <v>2</v>
      </c>
      <c r="C51">
        <v>1941.7475728155337</v>
      </c>
      <c r="D51">
        <v>0</v>
      </c>
      <c r="E51">
        <v>1037.037037037037</v>
      </c>
      <c r="F51">
        <v>7</v>
      </c>
      <c r="G51">
        <v>441.0838059231254</v>
      </c>
      <c r="H51">
        <v>6</v>
      </c>
      <c r="I51">
        <v>195.12195121951214</v>
      </c>
      <c r="J51">
        <v>9</v>
      </c>
      <c r="K51">
        <v>73.987950533770203</v>
      </c>
      <c r="L51">
        <v>8</v>
      </c>
      <c r="M51">
        <v>25.929767372944138</v>
      </c>
      <c r="N51">
        <v>6</v>
      </c>
      <c r="O51">
        <v>3.8135842683497985</v>
      </c>
      <c r="P51">
        <f>(B51*C51)+(D51*E51)+(F51*G51)+(H51*I51)+(J51*K51)+(L51*M51)+(N51*O51)</f>
        <v>9038.0246938076016</v>
      </c>
    </row>
    <row r="52" spans="1:19" x14ac:dyDescent="0.2">
      <c r="A52">
        <v>2000</v>
      </c>
      <c r="B52">
        <v>4</v>
      </c>
      <c r="C52">
        <v>1941.7475728155337</v>
      </c>
      <c r="D52">
        <v>4</v>
      </c>
      <c r="E52">
        <v>1037.037037037037</v>
      </c>
      <c r="F52">
        <v>17</v>
      </c>
      <c r="G52">
        <v>441.0838059231254</v>
      </c>
      <c r="H52">
        <v>26</v>
      </c>
      <c r="I52">
        <v>195.12195121951214</v>
      </c>
      <c r="J52">
        <v>72</v>
      </c>
      <c r="K52">
        <v>73.987950533770203</v>
      </c>
      <c r="L52">
        <v>115</v>
      </c>
      <c r="M52">
        <v>25.929767372944138</v>
      </c>
      <c r="N52">
        <v>127</v>
      </c>
      <c r="O52">
        <v>3.8135842683497985</v>
      </c>
      <c r="P52">
        <f t="shared" ref="P52:P66" si="9">(B52*C52)+(D52*E52)+(F52*G52)+(H52*I52)+(J52*K52)+(L52*M52)+(N52*O52)</f>
        <v>33280.114760211181</v>
      </c>
    </row>
    <row r="53" spans="1:19" x14ac:dyDescent="0.2">
      <c r="A53">
        <v>3000</v>
      </c>
      <c r="B53">
        <v>1</v>
      </c>
      <c r="C53">
        <v>1941.7475728155337</v>
      </c>
      <c r="D53">
        <v>4</v>
      </c>
      <c r="E53">
        <v>1037.037037037037</v>
      </c>
      <c r="F53">
        <v>21</v>
      </c>
      <c r="G53">
        <v>441.0838059231254</v>
      </c>
      <c r="H53">
        <v>52</v>
      </c>
      <c r="I53">
        <v>195.12195121951214</v>
      </c>
      <c r="J53">
        <v>102</v>
      </c>
      <c r="K53">
        <v>73.987950533770203</v>
      </c>
      <c r="L53">
        <v>178</v>
      </c>
      <c r="M53">
        <v>25.929767372944138</v>
      </c>
      <c r="N53">
        <v>179</v>
      </c>
      <c r="O53">
        <v>3.8135842683497985</v>
      </c>
      <c r="P53">
        <f t="shared" si="9"/>
        <v>38343.898239627182</v>
      </c>
    </row>
    <row r="54" spans="1:19" x14ac:dyDescent="0.2">
      <c r="A54">
        <v>4000</v>
      </c>
      <c r="B54">
        <v>2</v>
      </c>
      <c r="C54">
        <v>1941.7475728155337</v>
      </c>
      <c r="D54">
        <v>3</v>
      </c>
      <c r="E54">
        <v>1037.037037037037</v>
      </c>
      <c r="F54">
        <v>14</v>
      </c>
      <c r="G54">
        <v>441.0838059231254</v>
      </c>
      <c r="H54">
        <v>31</v>
      </c>
      <c r="I54">
        <v>195.12195121951214</v>
      </c>
      <c r="J54">
        <v>91</v>
      </c>
      <c r="K54">
        <v>73.987950533770203</v>
      </c>
      <c r="L54">
        <v>115</v>
      </c>
      <c r="M54">
        <v>25.929767372944138</v>
      </c>
      <c r="N54">
        <v>110</v>
      </c>
      <c r="O54">
        <v>3.8135842683497985</v>
      </c>
      <c r="P54">
        <f t="shared" si="9"/>
        <v>29352.881043450947</v>
      </c>
    </row>
    <row r="55" spans="1:19" x14ac:dyDescent="0.2">
      <c r="A55">
        <v>5000</v>
      </c>
      <c r="B55">
        <v>4</v>
      </c>
      <c r="C55">
        <v>1941.7475728155337</v>
      </c>
      <c r="D55">
        <v>12</v>
      </c>
      <c r="E55">
        <v>1037.037037037037</v>
      </c>
      <c r="F55">
        <v>50</v>
      </c>
      <c r="G55">
        <v>441.0838059231254</v>
      </c>
      <c r="H55">
        <v>176</v>
      </c>
      <c r="I55">
        <v>195.12195121951214</v>
      </c>
      <c r="J55">
        <v>397</v>
      </c>
      <c r="K55">
        <v>73.987950533770203</v>
      </c>
      <c r="L55">
        <v>656</v>
      </c>
      <c r="M55">
        <v>25.929767372944138</v>
      </c>
      <c r="N55">
        <v>660</v>
      </c>
      <c r="O55">
        <v>3.8135842683497985</v>
      </c>
      <c r="P55">
        <f t="shared" si="9"/>
        <v>125507.19782216598</v>
      </c>
    </row>
    <row r="56" spans="1:19" ht="15" x14ac:dyDescent="0.25">
      <c r="A56">
        <v>10000</v>
      </c>
      <c r="B56">
        <v>0</v>
      </c>
      <c r="C56">
        <v>1941.7475728155337</v>
      </c>
      <c r="D56">
        <v>4</v>
      </c>
      <c r="E56">
        <v>1037.037037037037</v>
      </c>
      <c r="F56">
        <v>18</v>
      </c>
      <c r="G56">
        <v>441.0838059231254</v>
      </c>
      <c r="H56">
        <v>57</v>
      </c>
      <c r="I56">
        <v>195.12195121951214</v>
      </c>
      <c r="J56">
        <v>131</v>
      </c>
      <c r="K56">
        <v>73.987950533770203</v>
      </c>
      <c r="L56">
        <v>250</v>
      </c>
      <c r="M56">
        <v>25.929767372944138</v>
      </c>
      <c r="N56">
        <v>233</v>
      </c>
      <c r="O56">
        <v>3.8135842683497985</v>
      </c>
      <c r="P56">
        <f t="shared" si="9"/>
        <v>40273.036371962029</v>
      </c>
      <c r="Q56" s="3">
        <f>P56+Q57</f>
        <v>82635.416840298058</v>
      </c>
      <c r="R56" s="28">
        <v>3038200</v>
      </c>
      <c r="S56">
        <f>Q56/R56*100</f>
        <v>2.7198807465044452</v>
      </c>
    </row>
    <row r="57" spans="1:19" ht="15" x14ac:dyDescent="0.25">
      <c r="A57">
        <v>15000</v>
      </c>
      <c r="B57">
        <v>0</v>
      </c>
      <c r="C57">
        <v>1941.7475728155337</v>
      </c>
      <c r="D57">
        <v>0</v>
      </c>
      <c r="E57">
        <v>1037.037037037037</v>
      </c>
      <c r="F57">
        <v>4</v>
      </c>
      <c r="G57">
        <v>441.0838059231254</v>
      </c>
      <c r="H57">
        <v>20</v>
      </c>
      <c r="I57">
        <v>195.12195121951214</v>
      </c>
      <c r="J57">
        <v>57</v>
      </c>
      <c r="K57">
        <v>73.987950533770203</v>
      </c>
      <c r="L57">
        <v>113</v>
      </c>
      <c r="M57">
        <v>25.929767372944138</v>
      </c>
      <c r="N57">
        <v>99</v>
      </c>
      <c r="O57">
        <v>3.8135842683497985</v>
      </c>
      <c r="P57">
        <f t="shared" si="9"/>
        <v>13191.695984216965</v>
      </c>
      <c r="Q57" s="3">
        <f>P57+Q58</f>
        <v>42362.380468336029</v>
      </c>
      <c r="R57" s="28">
        <v>3038200</v>
      </c>
      <c r="S57">
        <f t="shared" ref="S57:S65" si="10">Q57/R57*100</f>
        <v>1.3943249446493329</v>
      </c>
    </row>
    <row r="58" spans="1:19" ht="15" x14ac:dyDescent="0.25">
      <c r="A58">
        <v>20000</v>
      </c>
      <c r="B58">
        <v>0</v>
      </c>
      <c r="C58">
        <v>1941.7475728155337</v>
      </c>
      <c r="D58">
        <v>1</v>
      </c>
      <c r="E58">
        <v>1037.037037037037</v>
      </c>
      <c r="F58">
        <v>4</v>
      </c>
      <c r="G58">
        <v>441.0838059231254</v>
      </c>
      <c r="H58">
        <v>16</v>
      </c>
      <c r="I58">
        <v>195.12195121951214</v>
      </c>
      <c r="J58">
        <v>35</v>
      </c>
      <c r="K58">
        <v>73.987950533770203</v>
      </c>
      <c r="L58">
        <v>55</v>
      </c>
      <c r="M58">
        <v>25.929767372944138</v>
      </c>
      <c r="N58">
        <v>55</v>
      </c>
      <c r="O58">
        <v>3.8135842683497985</v>
      </c>
      <c r="P58">
        <f t="shared" si="9"/>
        <v>10148.786089194857</v>
      </c>
      <c r="Q58" s="3">
        <f>P58+Q59</f>
        <v>29170.684484119061</v>
      </c>
      <c r="R58" s="28">
        <v>3038200</v>
      </c>
      <c r="S58">
        <f>Q58/R58*100</f>
        <v>0.96013048792439815</v>
      </c>
    </row>
    <row r="59" spans="1:19" ht="15" x14ac:dyDescent="0.25">
      <c r="A59">
        <v>25000</v>
      </c>
      <c r="B59">
        <v>0</v>
      </c>
      <c r="C59">
        <v>1941.7475728155337</v>
      </c>
      <c r="D59">
        <v>0</v>
      </c>
      <c r="E59">
        <v>1037.037037037037</v>
      </c>
      <c r="F59">
        <v>2</v>
      </c>
      <c r="G59">
        <v>441.0838059231254</v>
      </c>
      <c r="H59">
        <v>6</v>
      </c>
      <c r="I59">
        <v>195.12195121951214</v>
      </c>
      <c r="J59">
        <v>16</v>
      </c>
      <c r="K59">
        <v>73.987950533770203</v>
      </c>
      <c r="L59">
        <v>42</v>
      </c>
      <c r="M59">
        <v>25.929767372944138</v>
      </c>
      <c r="N59">
        <v>38</v>
      </c>
      <c r="O59">
        <v>3.8135842683497985</v>
      </c>
      <c r="P59">
        <f t="shared" si="9"/>
        <v>4470.6729595645929</v>
      </c>
      <c r="Q59" s="3">
        <f>P59+Q60</f>
        <v>19021.898394924207</v>
      </c>
      <c r="R59" s="28">
        <v>3038200</v>
      </c>
      <c r="S59">
        <f t="shared" si="10"/>
        <v>0.62609105374643559</v>
      </c>
    </row>
    <row r="60" spans="1:19" ht="15" x14ac:dyDescent="0.25">
      <c r="A60">
        <v>30000</v>
      </c>
      <c r="B60">
        <v>0</v>
      </c>
      <c r="C60">
        <v>1941.7475728155337</v>
      </c>
      <c r="D60">
        <v>2</v>
      </c>
      <c r="E60">
        <v>1037.037037037037</v>
      </c>
      <c r="F60">
        <v>2</v>
      </c>
      <c r="G60">
        <v>441.0838059231254</v>
      </c>
      <c r="H60">
        <v>9</v>
      </c>
      <c r="I60">
        <v>195.12195121951214</v>
      </c>
      <c r="J60">
        <v>17</v>
      </c>
      <c r="K60">
        <v>73.987950533770203</v>
      </c>
      <c r="L60">
        <v>39</v>
      </c>
      <c r="M60">
        <v>25.929767372944138</v>
      </c>
      <c r="N60">
        <v>46</v>
      </c>
      <c r="O60">
        <v>3.8135842683497985</v>
      </c>
      <c r="P60">
        <f t="shared" si="9"/>
        <v>7156.8202098589391</v>
      </c>
      <c r="Q60" s="3">
        <f>P60+Q61</f>
        <v>14551.225435359614</v>
      </c>
      <c r="R60" s="28">
        <v>3038200</v>
      </c>
      <c r="S60">
        <f t="shared" si="10"/>
        <v>0.47894231569217344</v>
      </c>
    </row>
    <row r="61" spans="1:19" ht="15" x14ac:dyDescent="0.25">
      <c r="A61">
        <v>40000</v>
      </c>
      <c r="B61">
        <v>0</v>
      </c>
      <c r="C61">
        <v>1941.7475728155337</v>
      </c>
      <c r="D61">
        <v>0</v>
      </c>
      <c r="E61">
        <v>1037.037037037037</v>
      </c>
      <c r="F61">
        <v>2</v>
      </c>
      <c r="G61">
        <v>441.0838059231254</v>
      </c>
      <c r="H61">
        <v>6</v>
      </c>
      <c r="I61">
        <v>195.12195121951214</v>
      </c>
      <c r="J61">
        <v>10</v>
      </c>
      <c r="K61">
        <v>73.987950533770203</v>
      </c>
      <c r="L61">
        <v>14</v>
      </c>
      <c r="M61">
        <v>25.929767372944138</v>
      </c>
      <c r="N61">
        <v>16</v>
      </c>
      <c r="O61">
        <v>3.8135842683497985</v>
      </c>
      <c r="P61">
        <f t="shared" si="9"/>
        <v>3216.8129160158401</v>
      </c>
      <c r="Q61" s="3">
        <f>P61+P62+P63+P64+P65</f>
        <v>7394.4052255006764</v>
      </c>
      <c r="R61" s="28">
        <v>3038200</v>
      </c>
      <c r="S61">
        <f t="shared" si="10"/>
        <v>0.24338112123957201</v>
      </c>
    </row>
    <row r="62" spans="1:19" ht="15" x14ac:dyDescent="0.25">
      <c r="A62">
        <v>50000</v>
      </c>
      <c r="B62">
        <v>0</v>
      </c>
      <c r="C62">
        <v>1941.7475728155337</v>
      </c>
      <c r="D62">
        <v>1</v>
      </c>
      <c r="E62">
        <v>1037.037037037037</v>
      </c>
      <c r="F62">
        <v>0</v>
      </c>
      <c r="G62">
        <v>441.0838059231254</v>
      </c>
      <c r="H62">
        <v>2</v>
      </c>
      <c r="I62">
        <v>195.12195121951214</v>
      </c>
      <c r="J62">
        <v>5</v>
      </c>
      <c r="K62">
        <v>73.987950533770203</v>
      </c>
      <c r="L62">
        <v>9</v>
      </c>
      <c r="M62">
        <v>25.929767372944138</v>
      </c>
      <c r="N62">
        <v>9</v>
      </c>
      <c r="O62">
        <v>3.8135842683497985</v>
      </c>
      <c r="P62">
        <f t="shared" si="9"/>
        <v>2064.9108569165578</v>
      </c>
      <c r="Q62" s="3">
        <f>P62+P63+P64+P65</f>
        <v>4177.5923094848367</v>
      </c>
      <c r="R62" s="28">
        <v>3038200</v>
      </c>
      <c r="S62">
        <f t="shared" si="10"/>
        <v>0.13750221543956412</v>
      </c>
    </row>
    <row r="63" spans="1:19" ht="15" x14ac:dyDescent="0.25">
      <c r="A63">
        <v>60000</v>
      </c>
      <c r="B63">
        <v>0</v>
      </c>
      <c r="C63">
        <v>1941.7475728155337</v>
      </c>
      <c r="D63">
        <v>0</v>
      </c>
      <c r="E63">
        <v>1037.037037037037</v>
      </c>
      <c r="F63">
        <v>0</v>
      </c>
      <c r="G63">
        <v>441.0838059231254</v>
      </c>
      <c r="H63">
        <v>1</v>
      </c>
      <c r="I63">
        <v>195.12195121951214</v>
      </c>
      <c r="J63">
        <v>4</v>
      </c>
      <c r="K63">
        <v>73.987950533770203</v>
      </c>
      <c r="L63">
        <v>7</v>
      </c>
      <c r="M63">
        <v>25.929767372944138</v>
      </c>
      <c r="N63">
        <v>6</v>
      </c>
      <c r="O63">
        <v>3.8135842683497985</v>
      </c>
      <c r="P63">
        <f t="shared" si="9"/>
        <v>695.46363057530073</v>
      </c>
      <c r="Q63" s="3">
        <f>P64+P63+P65</f>
        <v>2112.6814525682789</v>
      </c>
      <c r="R63" s="28">
        <v>3038200</v>
      </c>
      <c r="S63">
        <f t="shared" si="10"/>
        <v>6.9537273799232399E-2</v>
      </c>
    </row>
    <row r="64" spans="1:19" ht="15" x14ac:dyDescent="0.25">
      <c r="A64">
        <v>70000</v>
      </c>
      <c r="B64">
        <v>0</v>
      </c>
      <c r="C64">
        <v>1941.7475728155337</v>
      </c>
      <c r="D64">
        <v>0</v>
      </c>
      <c r="E64">
        <v>1037.037037037037</v>
      </c>
      <c r="F64">
        <v>0</v>
      </c>
      <c r="G64">
        <v>441.0838059231254</v>
      </c>
      <c r="H64">
        <v>4</v>
      </c>
      <c r="I64">
        <v>195.12195121951214</v>
      </c>
      <c r="J64">
        <v>1</v>
      </c>
      <c r="K64">
        <v>73.987950533770203</v>
      </c>
      <c r="L64">
        <v>3</v>
      </c>
      <c r="M64">
        <v>25.929767372944138</v>
      </c>
      <c r="N64">
        <v>4</v>
      </c>
      <c r="O64">
        <v>3.8135842683497985</v>
      </c>
      <c r="P64">
        <f t="shared" si="9"/>
        <v>947.51939460405038</v>
      </c>
      <c r="Q64" s="3">
        <f>P65+P64</f>
        <v>1417.2178219929783</v>
      </c>
      <c r="R64" s="28">
        <v>3038200</v>
      </c>
      <c r="S64">
        <f t="shared" si="10"/>
        <v>4.6646627015765205E-2</v>
      </c>
    </row>
    <row r="65" spans="1:21" ht="15" x14ac:dyDescent="0.25">
      <c r="A65" t="s">
        <v>4</v>
      </c>
      <c r="B65">
        <v>0</v>
      </c>
      <c r="C65">
        <v>1941.7475728155337</v>
      </c>
      <c r="D65">
        <v>0</v>
      </c>
      <c r="E65">
        <v>1037.037037037037</v>
      </c>
      <c r="F65">
        <v>0</v>
      </c>
      <c r="G65">
        <v>441.0838059231254</v>
      </c>
      <c r="H65">
        <v>1</v>
      </c>
      <c r="I65">
        <v>195.12195121951214</v>
      </c>
      <c r="J65">
        <v>2</v>
      </c>
      <c r="K65">
        <v>73.987950533770203</v>
      </c>
      <c r="L65">
        <v>4</v>
      </c>
      <c r="M65">
        <v>25.929767372944138</v>
      </c>
      <c r="N65">
        <v>6</v>
      </c>
      <c r="O65">
        <v>3.8135842683497985</v>
      </c>
      <c r="P65">
        <f t="shared" si="9"/>
        <v>469.69842738892788</v>
      </c>
      <c r="Q65" s="3">
        <f>P65</f>
        <v>469.69842738892788</v>
      </c>
      <c r="R65" s="28">
        <v>3038200</v>
      </c>
      <c r="S65">
        <f t="shared" si="10"/>
        <v>1.5459759969354482E-2</v>
      </c>
    </row>
    <row r="66" spans="1:21" x14ac:dyDescent="0.2">
      <c r="A66" t="s">
        <v>3</v>
      </c>
      <c r="B66">
        <v>13</v>
      </c>
      <c r="C66">
        <v>1941.7475728155337</v>
      </c>
      <c r="D66">
        <v>31</v>
      </c>
      <c r="E66">
        <v>1037.037037037037</v>
      </c>
      <c r="F66">
        <v>141</v>
      </c>
      <c r="G66">
        <v>441.0838059231254</v>
      </c>
      <c r="H66">
        <v>413</v>
      </c>
      <c r="I66">
        <v>195.12195121951214</v>
      </c>
      <c r="J66">
        <v>949</v>
      </c>
      <c r="K66">
        <v>73.987950533770203</v>
      </c>
      <c r="L66">
        <v>1608</v>
      </c>
      <c r="M66">
        <v>25.929767372944138</v>
      </c>
      <c r="N66">
        <v>1594</v>
      </c>
      <c r="O66">
        <v>3.8135842683497985</v>
      </c>
      <c r="P66">
        <f t="shared" si="9"/>
        <v>318157.5333995609</v>
      </c>
    </row>
    <row r="70" spans="1:21" ht="15" x14ac:dyDescent="0.25">
      <c r="A70" s="2" t="s">
        <v>24</v>
      </c>
    </row>
    <row r="71" spans="1:21" x14ac:dyDescent="0.2">
      <c r="G71" t="s">
        <v>25</v>
      </c>
    </row>
    <row r="73" spans="1:21" ht="15" x14ac:dyDescent="0.25">
      <c r="A73" t="s">
        <v>26</v>
      </c>
      <c r="B73" s="2" t="s">
        <v>27</v>
      </c>
      <c r="C73" t="s">
        <v>28</v>
      </c>
      <c r="D73" t="s">
        <v>29</v>
      </c>
      <c r="E73" t="s">
        <v>30</v>
      </c>
      <c r="F73" t="s">
        <v>31</v>
      </c>
      <c r="G73" t="s">
        <v>32</v>
      </c>
      <c r="H73" t="s">
        <v>33</v>
      </c>
      <c r="I73" t="s">
        <v>34</v>
      </c>
      <c r="J73" t="s">
        <v>35</v>
      </c>
      <c r="K73" s="2" t="s">
        <v>36</v>
      </c>
      <c r="L73" s="2" t="s">
        <v>37</v>
      </c>
      <c r="M73" s="5" t="s">
        <v>38</v>
      </c>
      <c r="N73" s="2" t="s">
        <v>39</v>
      </c>
      <c r="O73" s="5" t="s">
        <v>40</v>
      </c>
      <c r="P73" s="2" t="s">
        <v>41</v>
      </c>
      <c r="Q73" s="5" t="s">
        <v>42</v>
      </c>
      <c r="R73" s="2" t="s">
        <v>43</v>
      </c>
      <c r="S73" s="2" t="s">
        <v>84</v>
      </c>
      <c r="T73" s="2"/>
      <c r="U73" s="2"/>
    </row>
    <row r="74" spans="1:21" ht="15" x14ac:dyDescent="0.25">
      <c r="A74" t="s">
        <v>90</v>
      </c>
      <c r="B74" s="6">
        <v>5.0000000000000001E-4</v>
      </c>
      <c r="C74">
        <f>S65/100</f>
        <v>1.5459759969354482E-4</v>
      </c>
      <c r="D74">
        <f>S64/100</f>
        <v>4.6646627015765207E-4</v>
      </c>
      <c r="E74">
        <v>100000</v>
      </c>
      <c r="F74">
        <v>70000</v>
      </c>
      <c r="G74">
        <f t="shared" ref="G74:G79" si="11">D74/C74</f>
        <v>3.0172930956387236</v>
      </c>
      <c r="H74">
        <f t="shared" ref="H74:H79" si="12">LN(G74)</f>
        <v>1.104360103499036</v>
      </c>
      <c r="I74">
        <f t="shared" ref="I74:I79" si="13">E74/F74</f>
        <v>1.4285714285714286</v>
      </c>
      <c r="J74">
        <f t="shared" ref="J74:J79" si="14">LN(I74)</f>
        <v>0.35667494393873239</v>
      </c>
      <c r="K74">
        <f t="shared" ref="K74:K79" si="15">H74/J74</f>
        <v>3.0962648828192898</v>
      </c>
      <c r="L74">
        <f t="shared" ref="L74:L79" si="16">F74*((D74)^(1/K74))</f>
        <v>5877.9736482909175</v>
      </c>
      <c r="M74">
        <f t="shared" ref="M74:M79" si="17">POWER(B74,1/K74)</f>
        <v>8.5875060446148066E-2</v>
      </c>
      <c r="N74">
        <f t="shared" ref="N74:N79" si="18">L74/M74</f>
        <v>68447.971014552852</v>
      </c>
      <c r="O74" s="28">
        <v>3038200</v>
      </c>
      <c r="P74">
        <f>O74*(K74/(1-K74))*POWER(L74,K74)*(-1)*POWER(N74,1-K74)</f>
        <v>153581495.02122667</v>
      </c>
      <c r="Q74">
        <f t="shared" ref="Q74:Q79" si="19">B74*O74</f>
        <v>1519.1000000000001</v>
      </c>
      <c r="R74">
        <f t="shared" ref="R74:R79" si="20">P74/Q74</f>
        <v>101100.31928196081</v>
      </c>
      <c r="S74">
        <f t="shared" ref="S74:S79" si="21">26.5028790786948*P74</f>
        <v>4070351791.272738</v>
      </c>
    </row>
    <row r="75" spans="1:21" ht="15" x14ac:dyDescent="0.25">
      <c r="A75" t="s">
        <v>91</v>
      </c>
      <c r="B75" s="6">
        <v>1E-3</v>
      </c>
      <c r="C75">
        <f>S63/100</f>
        <v>6.9537273799232403E-4</v>
      </c>
      <c r="D75">
        <f>S62/100</f>
        <v>1.3750221543956413E-3</v>
      </c>
      <c r="E75">
        <v>60000</v>
      </c>
      <c r="F75">
        <v>50000</v>
      </c>
      <c r="G75">
        <f t="shared" si="11"/>
        <v>1.9773886424791356</v>
      </c>
      <c r="H75">
        <f t="shared" si="12"/>
        <v>0.68177710680056713</v>
      </c>
      <c r="I75">
        <f t="shared" si="13"/>
        <v>1.2</v>
      </c>
      <c r="J75">
        <f t="shared" si="14"/>
        <v>0.18232155679395459</v>
      </c>
      <c r="K75">
        <f t="shared" si="15"/>
        <v>3.7394212664115067</v>
      </c>
      <c r="L75">
        <f t="shared" si="16"/>
        <v>8584.0798505840012</v>
      </c>
      <c r="M75">
        <f t="shared" si="17"/>
        <v>0.15766555324570683</v>
      </c>
      <c r="N75">
        <f t="shared" si="18"/>
        <v>54444.865564303233</v>
      </c>
      <c r="O75" s="28">
        <v>3038200</v>
      </c>
      <c r="P75">
        <f>O75*(K75/(1-K75))*POWER(L75,K75)*(POWER(N74,1-K75)-POWER(N75,1-K75))+P74</f>
        <v>258761336.52373463</v>
      </c>
      <c r="Q75">
        <f t="shared" si="19"/>
        <v>3038.2000000000003</v>
      </c>
      <c r="R75">
        <f t="shared" si="20"/>
        <v>85169.289883396283</v>
      </c>
      <c r="S75">
        <f t="shared" si="21"/>
        <v>6857920412.1299915</v>
      </c>
    </row>
    <row r="76" spans="1:21" ht="15" x14ac:dyDescent="0.25">
      <c r="A76" t="s">
        <v>92</v>
      </c>
      <c r="B76" s="6">
        <v>2.5000000000000001E-3</v>
      </c>
      <c r="C76">
        <f>S61/100</f>
        <v>2.4338112123957201E-3</v>
      </c>
      <c r="D76">
        <f>S60/100</f>
        <v>4.7894231569217344E-3</v>
      </c>
      <c r="E76">
        <v>40000</v>
      </c>
      <c r="F76">
        <v>30000</v>
      </c>
      <c r="G76">
        <f t="shared" si="11"/>
        <v>1.9678696246153249</v>
      </c>
      <c r="H76">
        <f t="shared" si="12"/>
        <v>0.67695154878077424</v>
      </c>
      <c r="I76">
        <f t="shared" si="13"/>
        <v>1.3333333333333333</v>
      </c>
      <c r="J76">
        <f t="shared" si="14"/>
        <v>0.28768207245178085</v>
      </c>
      <c r="K76">
        <f t="shared" si="15"/>
        <v>2.3531238600008342</v>
      </c>
      <c r="L76">
        <f t="shared" si="16"/>
        <v>3099.6892496430696</v>
      </c>
      <c r="M76">
        <f t="shared" si="17"/>
        <v>7.838092018433214E-2</v>
      </c>
      <c r="N76">
        <f t="shared" si="18"/>
        <v>39546.476902202514</v>
      </c>
      <c r="O76" s="28">
        <v>3038200</v>
      </c>
      <c r="P76">
        <f t="shared" ref="P76:P79" si="22">O76*(K76/(1-K76))*POWER(L76,K76)*(POWER(N75,1-K76)-POWER(N76,1-K76))+P75</f>
        <v>442207706.12525368</v>
      </c>
      <c r="Q76">
        <f t="shared" si="19"/>
        <v>7595.5</v>
      </c>
      <c r="R76">
        <f t="shared" si="20"/>
        <v>58219.696678988046</v>
      </c>
      <c r="S76">
        <f t="shared" si="21"/>
        <v>11719777363.104605</v>
      </c>
    </row>
    <row r="77" spans="1:21" ht="15" x14ac:dyDescent="0.25">
      <c r="A77" t="s">
        <v>93</v>
      </c>
      <c r="B77" s="6">
        <v>5.0000000000000001E-3</v>
      </c>
      <c r="C77">
        <f>S60/100</f>
        <v>4.7894231569217344E-3</v>
      </c>
      <c r="D77">
        <f>S59/100</f>
        <v>6.2609105374643557E-3</v>
      </c>
      <c r="E77">
        <v>30000</v>
      </c>
      <c r="F77">
        <v>25000</v>
      </c>
      <c r="G77">
        <f t="shared" si="11"/>
        <v>1.3072368701470884</v>
      </c>
      <c r="H77">
        <f t="shared" si="12"/>
        <v>0.26791565016271468</v>
      </c>
      <c r="I77">
        <f t="shared" si="13"/>
        <v>1.2</v>
      </c>
      <c r="J77">
        <f t="shared" si="14"/>
        <v>0.18232155679395459</v>
      </c>
      <c r="K77">
        <f t="shared" si="15"/>
        <v>1.4694677627478343</v>
      </c>
      <c r="L77">
        <f t="shared" si="16"/>
        <v>791.60961492519073</v>
      </c>
      <c r="M77">
        <f t="shared" si="17"/>
        <v>2.7171055859116854E-2</v>
      </c>
      <c r="N77">
        <f t="shared" si="18"/>
        <v>29134.297136987323</v>
      </c>
      <c r="O77" s="28">
        <v>3038200</v>
      </c>
      <c r="P77">
        <f t="shared" si="22"/>
        <v>627335059.89093673</v>
      </c>
      <c r="Q77">
        <f t="shared" si="19"/>
        <v>15191</v>
      </c>
      <c r="R77">
        <f t="shared" si="20"/>
        <v>41296.495286086283</v>
      </c>
      <c r="S77">
        <f t="shared" si="21"/>
        <v>16626185234.115257</v>
      </c>
    </row>
    <row r="78" spans="1:21" ht="15" x14ac:dyDescent="0.25">
      <c r="A78" t="s">
        <v>98</v>
      </c>
      <c r="B78" s="6">
        <v>0.01</v>
      </c>
      <c r="C78">
        <f>S58/100</f>
        <v>9.6013048792439812E-3</v>
      </c>
      <c r="D78">
        <f>S57/100</f>
        <v>1.3943249446493328E-2</v>
      </c>
      <c r="E78">
        <v>20000</v>
      </c>
      <c r="F78">
        <v>15000</v>
      </c>
      <c r="G78">
        <f t="shared" si="11"/>
        <v>1.4522244238526083</v>
      </c>
      <c r="H78">
        <f t="shared" si="12"/>
        <v>0.37309646634110899</v>
      </c>
      <c r="I78">
        <f t="shared" si="13"/>
        <v>1.3333333333333333</v>
      </c>
      <c r="J78">
        <f t="shared" si="14"/>
        <v>0.28768207245178085</v>
      </c>
      <c r="K78">
        <f t="shared" si="15"/>
        <v>1.2969055150408952</v>
      </c>
      <c r="L78">
        <f t="shared" si="16"/>
        <v>556.25389884389938</v>
      </c>
      <c r="M78">
        <f t="shared" si="17"/>
        <v>2.8699055965408213E-2</v>
      </c>
      <c r="N78">
        <f t="shared" si="18"/>
        <v>19382.306495181165</v>
      </c>
      <c r="O78" s="28">
        <v>3038200</v>
      </c>
      <c r="P78">
        <f t="shared" si="22"/>
        <v>920495792.40026355</v>
      </c>
      <c r="Q78">
        <f t="shared" si="19"/>
        <v>30382</v>
      </c>
      <c r="R78">
        <f t="shared" si="20"/>
        <v>30297.406108888932</v>
      </c>
      <c r="S78">
        <f t="shared" si="21"/>
        <v>24395788678.431538</v>
      </c>
    </row>
    <row r="79" spans="1:21" ht="15" x14ac:dyDescent="0.25">
      <c r="A79" t="s">
        <v>96</v>
      </c>
      <c r="B79" s="6">
        <v>0.02</v>
      </c>
      <c r="C79">
        <f>S57/100</f>
        <v>1.3943249446493328E-2</v>
      </c>
      <c r="D79">
        <f>S56/100</f>
        <v>2.7198807465044453E-2</v>
      </c>
      <c r="E79">
        <v>15000</v>
      </c>
      <c r="F79">
        <v>10000</v>
      </c>
      <c r="G79">
        <f t="shared" si="11"/>
        <v>1.9506792566122271</v>
      </c>
      <c r="H79">
        <f t="shared" si="12"/>
        <v>0.66817764864472295</v>
      </c>
      <c r="I79">
        <f t="shared" si="13"/>
        <v>1.5</v>
      </c>
      <c r="J79">
        <f t="shared" si="14"/>
        <v>0.40546510810816438</v>
      </c>
      <c r="K79">
        <f t="shared" si="15"/>
        <v>1.647928848335023</v>
      </c>
      <c r="L79">
        <f t="shared" si="16"/>
        <v>1122.1474385584877</v>
      </c>
      <c r="M79">
        <f t="shared" si="17"/>
        <v>9.3116595169525654E-2</v>
      </c>
      <c r="N79">
        <f t="shared" si="18"/>
        <v>12050.99302133562</v>
      </c>
      <c r="O79" s="28">
        <v>3038200</v>
      </c>
      <c r="P79">
        <f t="shared" si="22"/>
        <v>1414067250.6099179</v>
      </c>
      <c r="Q79">
        <f t="shared" si="19"/>
        <v>60764</v>
      </c>
      <c r="R79">
        <f t="shared" si="20"/>
        <v>23271.464199360111</v>
      </c>
      <c r="S79">
        <f t="shared" si="21"/>
        <v>37476853352.057068</v>
      </c>
    </row>
    <row r="82" spans="1:6" ht="15" x14ac:dyDescent="0.25">
      <c r="A82" s="15" t="s">
        <v>60</v>
      </c>
      <c r="B82" s="16"/>
    </row>
    <row r="83" spans="1:6" ht="15" x14ac:dyDescent="0.25">
      <c r="A83" s="2" t="s">
        <v>61</v>
      </c>
    </row>
    <row r="85" spans="1:6" ht="15" x14ac:dyDescent="0.25">
      <c r="A85" s="2" t="s">
        <v>27</v>
      </c>
      <c r="B85" s="2" t="s">
        <v>62</v>
      </c>
      <c r="C85" s="2" t="s">
        <v>134</v>
      </c>
      <c r="D85" s="17"/>
      <c r="E85" s="17"/>
      <c r="F85" s="2" t="s">
        <v>63</v>
      </c>
    </row>
    <row r="86" spans="1:6" x14ac:dyDescent="0.2">
      <c r="A86" s="18">
        <v>5.0000000000000001E-4</v>
      </c>
      <c r="B86">
        <f t="shared" ref="B86:B91" si="23">S33+S74</f>
        <v>11138402033.323692</v>
      </c>
      <c r="C86">
        <v>764071896551.72388</v>
      </c>
      <c r="F86">
        <f>B86/C86*100</f>
        <v>1.4577688413343806</v>
      </c>
    </row>
    <row r="87" spans="1:6" x14ac:dyDescent="0.2">
      <c r="A87" s="18">
        <v>1E-3</v>
      </c>
      <c r="B87">
        <f t="shared" si="23"/>
        <v>17917137433.650414</v>
      </c>
      <c r="C87">
        <v>764071896551.72388</v>
      </c>
      <c r="F87">
        <f t="shared" ref="F87:F91" si="24">B87/C87*100</f>
        <v>2.3449543838100726</v>
      </c>
    </row>
    <row r="88" spans="1:6" x14ac:dyDescent="0.2">
      <c r="A88" s="18">
        <v>2.5000000000000001E-3</v>
      </c>
      <c r="B88">
        <f t="shared" si="23"/>
        <v>32315138547.100037</v>
      </c>
      <c r="C88">
        <v>764071896551.72388</v>
      </c>
      <c r="F88">
        <f t="shared" si="24"/>
        <v>4.2293321731814881</v>
      </c>
    </row>
    <row r="89" spans="1:6" x14ac:dyDescent="0.2">
      <c r="A89" s="18">
        <v>5.0000000000000001E-3</v>
      </c>
      <c r="B89">
        <f t="shared" si="23"/>
        <v>48430818505.195984</v>
      </c>
      <c r="C89">
        <v>764071896551.72388</v>
      </c>
      <c r="F89">
        <f t="shared" si="24"/>
        <v>6.3385158810009266</v>
      </c>
    </row>
    <row r="90" spans="1:6" x14ac:dyDescent="0.2">
      <c r="A90" s="19">
        <v>0.01</v>
      </c>
      <c r="B90">
        <f t="shared" si="23"/>
        <v>71999844915.064178</v>
      </c>
      <c r="C90">
        <v>764071896551.72388</v>
      </c>
      <c r="F90">
        <f t="shared" si="24"/>
        <v>9.4231766984234504</v>
      </c>
    </row>
    <row r="91" spans="1:6" x14ac:dyDescent="0.2">
      <c r="A91" s="19">
        <v>0.02</v>
      </c>
      <c r="B91">
        <f t="shared" si="23"/>
        <v>110588144055.46115</v>
      </c>
      <c r="C91">
        <v>764071896551.72388</v>
      </c>
      <c r="F91">
        <f t="shared" si="24"/>
        <v>14.473525927932737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A66" workbookViewId="0">
      <selection activeCell="F88" sqref="F88"/>
    </sheetView>
  </sheetViews>
  <sheetFormatPr defaultRowHeight="12.75" x14ac:dyDescent="0.2"/>
  <cols>
    <col min="1" max="1" width="15.85546875" customWidth="1"/>
    <col min="2" max="2" width="33.42578125" customWidth="1"/>
    <col min="3" max="5" width="10" customWidth="1"/>
    <col min="6" max="7" width="9.5703125" customWidth="1"/>
    <col min="8" max="9" width="10" customWidth="1"/>
    <col min="10" max="13" width="11" customWidth="1"/>
    <col min="14" max="14" width="12" customWidth="1"/>
    <col min="15" max="15" width="9.7109375" customWidth="1"/>
    <col min="16" max="16" width="10.5703125" customWidth="1"/>
    <col min="17" max="17" width="9.5703125" customWidth="1"/>
    <col min="18" max="18" width="15" customWidth="1"/>
    <col min="19" max="19" width="19" customWidth="1"/>
    <col min="20" max="20" width="11.5703125" customWidth="1"/>
    <col min="21" max="21" width="12.28515625" customWidth="1"/>
    <col min="22" max="22" width="12" customWidth="1"/>
    <col min="23" max="23" width="11.85546875" customWidth="1"/>
    <col min="24" max="24" width="12.140625" customWidth="1"/>
    <col min="25" max="25" width="11.42578125" customWidth="1"/>
    <col min="26" max="26" width="21.28515625" customWidth="1"/>
    <col min="27" max="27" width="12.855468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7" spans="1:19" x14ac:dyDescent="0.2">
      <c r="A7" t="s">
        <v>0</v>
      </c>
      <c r="B7" t="s">
        <v>1</v>
      </c>
      <c r="C7" t="s">
        <v>19</v>
      </c>
      <c r="D7" t="s">
        <v>5</v>
      </c>
      <c r="E7" t="s">
        <v>19</v>
      </c>
      <c r="F7" t="s">
        <v>6</v>
      </c>
      <c r="G7" t="s">
        <v>19</v>
      </c>
      <c r="H7" t="s">
        <v>7</v>
      </c>
      <c r="I7" t="s">
        <v>19</v>
      </c>
      <c r="J7" t="s">
        <v>8</v>
      </c>
      <c r="K7" t="s">
        <v>19</v>
      </c>
      <c r="L7" t="s">
        <v>9</v>
      </c>
      <c r="M7" t="s">
        <v>19</v>
      </c>
      <c r="N7" t="s">
        <v>2</v>
      </c>
      <c r="O7" t="s">
        <v>19</v>
      </c>
      <c r="P7" t="s">
        <v>20</v>
      </c>
      <c r="Q7" t="s">
        <v>21</v>
      </c>
      <c r="R7" t="s">
        <v>22</v>
      </c>
      <c r="S7" t="s">
        <v>23</v>
      </c>
    </row>
    <row r="8" spans="1:19" x14ac:dyDescent="0.2">
      <c r="A8">
        <v>1000</v>
      </c>
      <c r="C8">
        <v>801.3737836290785</v>
      </c>
      <c r="D8">
        <v>1</v>
      </c>
      <c r="E8">
        <v>695.13406156901692</v>
      </c>
      <c r="G8">
        <v>298.76227059325652</v>
      </c>
      <c r="H8">
        <v>1</v>
      </c>
      <c r="I8">
        <v>106.12492419648271</v>
      </c>
      <c r="J8">
        <v>1</v>
      </c>
      <c r="K8">
        <v>41.639402771994526</v>
      </c>
      <c r="L8">
        <v>1</v>
      </c>
      <c r="M8">
        <v>17.890230656188102</v>
      </c>
      <c r="O8">
        <v>3.4594380884133527</v>
      </c>
      <c r="P8">
        <f>(B8*C8)+(D8*E8)+(F8*G8)+(H8*I8)+(J8*K8)+(L8*M8)+(N8*O8)</f>
        <v>860.78861919368228</v>
      </c>
    </row>
    <row r="9" spans="1:19" x14ac:dyDescent="0.2">
      <c r="A9">
        <v>2000</v>
      </c>
      <c r="B9">
        <v>6</v>
      </c>
      <c r="C9">
        <v>801.3737836290785</v>
      </c>
      <c r="D9">
        <v>12</v>
      </c>
      <c r="E9">
        <v>695.13406156901692</v>
      </c>
      <c r="F9">
        <v>12</v>
      </c>
      <c r="G9">
        <v>298.76227059325652</v>
      </c>
      <c r="H9">
        <v>20</v>
      </c>
      <c r="I9">
        <v>106.12492419648271</v>
      </c>
      <c r="J9">
        <v>32</v>
      </c>
      <c r="K9">
        <v>41.639402771994526</v>
      </c>
      <c r="L9">
        <v>28</v>
      </c>
      <c r="M9">
        <v>17.890230656188102</v>
      </c>
      <c r="N9">
        <v>22</v>
      </c>
      <c r="O9">
        <v>3.4594380884133527</v>
      </c>
      <c r="P9">
        <f>(B9*C9)+(D9*E9)+(F9*G9)+(H9*I9)+(J9*K9)+(L9*M9)+(N9*O9)</f>
        <v>20766.99215667359</v>
      </c>
    </row>
    <row r="10" spans="1:19" x14ac:dyDescent="0.2">
      <c r="A10">
        <v>3000</v>
      </c>
      <c r="B10">
        <v>21</v>
      </c>
      <c r="C10">
        <v>801.3737836290785</v>
      </c>
      <c r="D10">
        <v>23</v>
      </c>
      <c r="E10">
        <v>695.13406156901692</v>
      </c>
      <c r="F10">
        <v>28</v>
      </c>
      <c r="G10">
        <v>298.76227059325652</v>
      </c>
      <c r="H10">
        <v>59</v>
      </c>
      <c r="I10">
        <v>106.12492419648271</v>
      </c>
      <c r="J10">
        <v>92</v>
      </c>
      <c r="K10">
        <v>41.639402771994526</v>
      </c>
      <c r="L10">
        <v>109</v>
      </c>
      <c r="M10">
        <v>17.890230656188102</v>
      </c>
      <c r="N10">
        <v>67</v>
      </c>
      <c r="O10">
        <v>3.4594380884133527</v>
      </c>
      <c r="P10">
        <f t="shared" ref="P10:P23" si="0">(B10*C10)+(D10*E10)+(F10*G10)+(H10*I10)+(J10*K10)+(L10*M10)+(N10*O10)</f>
        <v>53456.289524973392</v>
      </c>
    </row>
    <row r="11" spans="1:19" x14ac:dyDescent="0.2">
      <c r="A11">
        <v>4000</v>
      </c>
      <c r="B11">
        <v>10</v>
      </c>
      <c r="C11">
        <v>801.3737836290785</v>
      </c>
      <c r="D11">
        <v>5</v>
      </c>
      <c r="E11">
        <v>695.13406156901692</v>
      </c>
      <c r="F11">
        <v>22</v>
      </c>
      <c r="G11">
        <v>298.76227059325652</v>
      </c>
      <c r="H11">
        <v>32</v>
      </c>
      <c r="I11">
        <v>106.12492419648271</v>
      </c>
      <c r="J11">
        <v>54</v>
      </c>
      <c r="K11">
        <v>41.639402771994526</v>
      </c>
      <c r="L11">
        <v>68</v>
      </c>
      <c r="M11">
        <v>17.890230656188102</v>
      </c>
      <c r="N11">
        <v>49</v>
      </c>
      <c r="O11">
        <v>3.4594380884133527</v>
      </c>
      <c r="P11">
        <f t="shared" si="0"/>
        <v>25092.751572115703</v>
      </c>
    </row>
    <row r="12" spans="1:19" x14ac:dyDescent="0.2">
      <c r="A12">
        <v>5000</v>
      </c>
      <c r="B12">
        <v>34</v>
      </c>
      <c r="C12">
        <v>801.3737836290785</v>
      </c>
      <c r="D12">
        <v>63</v>
      </c>
      <c r="E12">
        <v>695.13406156901692</v>
      </c>
      <c r="F12">
        <v>151</v>
      </c>
      <c r="G12">
        <v>298.76227059325652</v>
      </c>
      <c r="H12">
        <v>480</v>
      </c>
      <c r="I12">
        <v>106.12492419648271</v>
      </c>
      <c r="J12">
        <v>773</v>
      </c>
      <c r="K12">
        <v>41.639402771994526</v>
      </c>
      <c r="L12">
        <v>829</v>
      </c>
      <c r="M12">
        <v>17.890230656188102</v>
      </c>
      <c r="N12">
        <v>454</v>
      </c>
      <c r="O12">
        <v>3.4594380884133527</v>
      </c>
      <c r="P12">
        <f t="shared" si="0"/>
        <v>215682.06544500153</v>
      </c>
    </row>
    <row r="13" spans="1:19" x14ac:dyDescent="0.2">
      <c r="A13">
        <v>10000</v>
      </c>
      <c r="B13">
        <v>8</v>
      </c>
      <c r="C13">
        <v>801.3737836290785</v>
      </c>
      <c r="D13">
        <v>28</v>
      </c>
      <c r="E13">
        <v>695.13406156901692</v>
      </c>
      <c r="F13">
        <v>63</v>
      </c>
      <c r="G13">
        <v>298.76227059325652</v>
      </c>
      <c r="H13">
        <v>157</v>
      </c>
      <c r="I13">
        <v>106.12492419648271</v>
      </c>
      <c r="J13">
        <v>357</v>
      </c>
      <c r="K13">
        <v>41.639402771994526</v>
      </c>
      <c r="L13">
        <v>370</v>
      </c>
      <c r="M13">
        <v>17.890230656188102</v>
      </c>
      <c r="N13">
        <v>247</v>
      </c>
      <c r="O13">
        <v>3.4594380884133527</v>
      </c>
      <c r="P13">
        <f t="shared" si="0"/>
        <v>83697.513479417772</v>
      </c>
      <c r="Q13" s="3">
        <f>P13+Q14</f>
        <v>220741.40165889877</v>
      </c>
      <c r="R13">
        <v>3116500</v>
      </c>
      <c r="S13">
        <f>(Q13/R13)*100</f>
        <v>7.0829905874827137</v>
      </c>
    </row>
    <row r="14" spans="1:19" x14ac:dyDescent="0.2">
      <c r="A14">
        <v>15000</v>
      </c>
      <c r="B14">
        <v>1</v>
      </c>
      <c r="C14">
        <v>801.3737836290785</v>
      </c>
      <c r="D14">
        <v>12</v>
      </c>
      <c r="E14">
        <v>695.13406156901692</v>
      </c>
      <c r="F14">
        <v>39</v>
      </c>
      <c r="G14">
        <v>298.76227059325652</v>
      </c>
      <c r="H14">
        <v>84</v>
      </c>
      <c r="I14">
        <v>106.12492419648271</v>
      </c>
      <c r="J14">
        <v>199</v>
      </c>
      <c r="K14">
        <v>41.639402771994526</v>
      </c>
      <c r="L14">
        <v>236</v>
      </c>
      <c r="M14">
        <v>17.890230656188102</v>
      </c>
      <c r="N14">
        <v>144</v>
      </c>
      <c r="O14">
        <v>3.4594380884133527</v>
      </c>
      <c r="P14">
        <f t="shared" si="0"/>
        <v>42715.699379317666</v>
      </c>
      <c r="Q14" s="3">
        <f>P14+Q15</f>
        <v>137043.888179481</v>
      </c>
      <c r="R14">
        <v>3116500</v>
      </c>
      <c r="S14">
        <f t="shared" ref="S14:S22" si="1">(Q14/R14)*100</f>
        <v>4.3973652552376379</v>
      </c>
    </row>
    <row r="15" spans="1:19" x14ac:dyDescent="0.2">
      <c r="A15">
        <v>20000</v>
      </c>
      <c r="B15">
        <v>1</v>
      </c>
      <c r="C15">
        <v>801.3737836290785</v>
      </c>
      <c r="D15">
        <v>7</v>
      </c>
      <c r="E15">
        <v>695.13406156901692</v>
      </c>
      <c r="F15">
        <v>19</v>
      </c>
      <c r="G15">
        <v>298.76227059325652</v>
      </c>
      <c r="H15">
        <v>54</v>
      </c>
      <c r="I15">
        <v>106.12492419648271</v>
      </c>
      <c r="J15">
        <v>164</v>
      </c>
      <c r="K15">
        <v>41.639402771994526</v>
      </c>
      <c r="L15">
        <v>143</v>
      </c>
      <c r="M15">
        <v>17.890230656188102</v>
      </c>
      <c r="N15">
        <v>93</v>
      </c>
      <c r="O15">
        <v>3.4594380884133527</v>
      </c>
      <c r="P15">
        <f t="shared" si="0"/>
        <v>26783.434043158584</v>
      </c>
      <c r="Q15" s="3">
        <f>P15+Q16</f>
        <v>94328.188800163334</v>
      </c>
      <c r="R15">
        <v>3116500</v>
      </c>
      <c r="S15">
        <f t="shared" si="1"/>
        <v>3.0267347601528423</v>
      </c>
    </row>
    <row r="16" spans="1:19" x14ac:dyDescent="0.2">
      <c r="A16">
        <v>25000</v>
      </c>
      <c r="C16">
        <v>801.3737836290785</v>
      </c>
      <c r="D16">
        <v>4</v>
      </c>
      <c r="E16">
        <v>695.13406156901692</v>
      </c>
      <c r="F16">
        <v>17</v>
      </c>
      <c r="G16">
        <v>298.76227059325652</v>
      </c>
      <c r="H16">
        <v>34</v>
      </c>
      <c r="I16">
        <v>106.12492419648271</v>
      </c>
      <c r="J16">
        <v>90</v>
      </c>
      <c r="K16">
        <v>41.639402771994526</v>
      </c>
      <c r="L16">
        <v>87</v>
      </c>
      <c r="M16">
        <v>17.890230656188102</v>
      </c>
      <c r="N16">
        <v>73</v>
      </c>
      <c r="O16">
        <v>3.4594380884133527</v>
      </c>
      <c r="P16">
        <f t="shared" si="0"/>
        <v>17024.277566063887</v>
      </c>
      <c r="Q16" s="3">
        <f>P16+Q17</f>
        <v>67544.754757004746</v>
      </c>
      <c r="R16">
        <v>3116500</v>
      </c>
      <c r="S16">
        <f t="shared" si="1"/>
        <v>2.1673272824323679</v>
      </c>
    </row>
    <row r="17" spans="1:21" x14ac:dyDescent="0.2">
      <c r="A17">
        <v>30000</v>
      </c>
      <c r="C17">
        <v>801.3737836290785</v>
      </c>
      <c r="D17">
        <v>4</v>
      </c>
      <c r="E17">
        <v>695.13406156901692</v>
      </c>
      <c r="F17">
        <v>20</v>
      </c>
      <c r="G17">
        <v>298.76227059325652</v>
      </c>
      <c r="H17">
        <v>52</v>
      </c>
      <c r="I17">
        <v>106.12492419648271</v>
      </c>
      <c r="J17">
        <v>103</v>
      </c>
      <c r="K17">
        <v>41.639402771994526</v>
      </c>
      <c r="L17">
        <v>121</v>
      </c>
      <c r="M17">
        <v>17.890230656188102</v>
      </c>
      <c r="N17">
        <v>96</v>
      </c>
      <c r="O17">
        <v>3.4594380884133527</v>
      </c>
      <c r="P17">
        <f t="shared" si="0"/>
        <v>21059.960167760179</v>
      </c>
      <c r="Q17" s="3">
        <f>P17+Q18</f>
        <v>50520.477190940859</v>
      </c>
      <c r="R17">
        <v>3116500</v>
      </c>
      <c r="S17">
        <f t="shared" si="1"/>
        <v>1.62106456572889</v>
      </c>
    </row>
    <row r="18" spans="1:21" x14ac:dyDescent="0.2">
      <c r="A18">
        <v>40000</v>
      </c>
      <c r="C18">
        <v>801.3737836290785</v>
      </c>
      <c r="E18">
        <v>695.13406156901692</v>
      </c>
      <c r="F18">
        <v>8</v>
      </c>
      <c r="G18">
        <v>298.76227059325652</v>
      </c>
      <c r="H18">
        <v>31</v>
      </c>
      <c r="I18">
        <v>106.12492419648271</v>
      </c>
      <c r="J18">
        <v>57</v>
      </c>
      <c r="K18">
        <v>41.639402771994526</v>
      </c>
      <c r="L18">
        <v>58</v>
      </c>
      <c r="M18">
        <v>17.890230656188102</v>
      </c>
      <c r="N18">
        <v>40</v>
      </c>
      <c r="O18">
        <v>3.4594380884133527</v>
      </c>
      <c r="P18">
        <f t="shared" si="0"/>
        <v>9229.4276744361468</v>
      </c>
      <c r="Q18" s="3">
        <f>P18+P19+P20+P21+P22</f>
        <v>29460.517023180681</v>
      </c>
      <c r="R18">
        <v>3116500</v>
      </c>
      <c r="S18">
        <f t="shared" si="1"/>
        <v>0.94530778190857301</v>
      </c>
    </row>
    <row r="19" spans="1:21" x14ac:dyDescent="0.2">
      <c r="A19">
        <v>50000</v>
      </c>
      <c r="C19">
        <v>801.3737836290785</v>
      </c>
      <c r="E19">
        <v>695.13406156901692</v>
      </c>
      <c r="F19">
        <v>4</v>
      </c>
      <c r="G19">
        <v>298.76227059325652</v>
      </c>
      <c r="H19">
        <v>22</v>
      </c>
      <c r="I19">
        <v>106.12492419648271</v>
      </c>
      <c r="J19">
        <v>33</v>
      </c>
      <c r="K19">
        <v>41.639402771994526</v>
      </c>
      <c r="L19">
        <v>44</v>
      </c>
      <c r="M19">
        <v>17.890230656188102</v>
      </c>
      <c r="N19">
        <v>30</v>
      </c>
      <c r="O19">
        <v>3.4594380884133527</v>
      </c>
      <c r="P19">
        <f t="shared" si="0"/>
        <v>5794.8509976961423</v>
      </c>
      <c r="Q19" s="3">
        <f>P19+P20+P21+P22</f>
        <v>20231.089348744536</v>
      </c>
      <c r="R19">
        <v>3116500</v>
      </c>
      <c r="S19">
        <f t="shared" si="1"/>
        <v>0.6491605759263448</v>
      </c>
    </row>
    <row r="20" spans="1:21" x14ac:dyDescent="0.2">
      <c r="A20">
        <v>60000</v>
      </c>
      <c r="C20">
        <v>801.3737836290785</v>
      </c>
      <c r="D20">
        <v>2</v>
      </c>
      <c r="E20">
        <v>695.13406156901692</v>
      </c>
      <c r="F20">
        <v>2</v>
      </c>
      <c r="G20">
        <v>298.76227059325652</v>
      </c>
      <c r="H20">
        <v>4</v>
      </c>
      <c r="I20">
        <v>106.12492419648271</v>
      </c>
      <c r="J20">
        <v>20</v>
      </c>
      <c r="K20">
        <v>41.639402771994526</v>
      </c>
      <c r="L20">
        <v>25</v>
      </c>
      <c r="M20">
        <v>17.890230656188102</v>
      </c>
      <c r="N20">
        <v>15</v>
      </c>
      <c r="O20">
        <v>3.4594380884133527</v>
      </c>
      <c r="P20">
        <f t="shared" si="0"/>
        <v>3744.2277542812717</v>
      </c>
      <c r="Q20" s="3">
        <f>P21+P20+P22</f>
        <v>14436.238351048392</v>
      </c>
      <c r="R20">
        <v>3116500</v>
      </c>
      <c r="S20">
        <f t="shared" si="1"/>
        <v>0.46321958450339779</v>
      </c>
    </row>
    <row r="21" spans="1:21" x14ac:dyDescent="0.2">
      <c r="A21">
        <v>70000</v>
      </c>
      <c r="C21">
        <v>801.3737836290785</v>
      </c>
      <c r="E21">
        <v>695.13406156901692</v>
      </c>
      <c r="F21">
        <v>5</v>
      </c>
      <c r="G21">
        <v>298.76227059325652</v>
      </c>
      <c r="H21">
        <v>15</v>
      </c>
      <c r="I21">
        <v>106.12492419648271</v>
      </c>
      <c r="J21">
        <v>36</v>
      </c>
      <c r="K21">
        <v>41.639402771994526</v>
      </c>
      <c r="L21">
        <v>34</v>
      </c>
      <c r="M21">
        <v>17.890230656188102</v>
      </c>
      <c r="N21">
        <v>25</v>
      </c>
      <c r="O21">
        <v>3.4594380884133527</v>
      </c>
      <c r="P21">
        <f t="shared" si="0"/>
        <v>5279.4575102260551</v>
      </c>
      <c r="Q21" s="3">
        <f>P22+P21</f>
        <v>10692.010596767122</v>
      </c>
      <c r="R21">
        <v>3116500</v>
      </c>
      <c r="S21">
        <f t="shared" si="1"/>
        <v>0.34307750992353997</v>
      </c>
    </row>
    <row r="22" spans="1:21" x14ac:dyDescent="0.2">
      <c r="A22" t="s">
        <v>4</v>
      </c>
      <c r="C22">
        <v>801.3737836290785</v>
      </c>
      <c r="D22">
        <v>1</v>
      </c>
      <c r="E22">
        <v>695.13406156901692</v>
      </c>
      <c r="F22">
        <v>5</v>
      </c>
      <c r="G22">
        <v>298.76227059325652</v>
      </c>
      <c r="H22">
        <v>14</v>
      </c>
      <c r="I22">
        <v>106.12492419648271</v>
      </c>
      <c r="J22">
        <v>23</v>
      </c>
      <c r="K22">
        <v>41.639402771994526</v>
      </c>
      <c r="L22">
        <v>38</v>
      </c>
      <c r="M22">
        <v>17.890230656188102</v>
      </c>
      <c r="N22">
        <v>29</v>
      </c>
      <c r="O22">
        <v>3.4594380884133527</v>
      </c>
      <c r="P22">
        <f t="shared" si="0"/>
        <v>5412.5530865410665</v>
      </c>
      <c r="Q22" s="3">
        <f>P22</f>
        <v>5412.5530865410665</v>
      </c>
      <c r="R22">
        <v>3116500</v>
      </c>
      <c r="S22">
        <f t="shared" si="1"/>
        <v>0.17367409230037112</v>
      </c>
    </row>
    <row r="23" spans="1:21" x14ac:dyDescent="0.2">
      <c r="A23" t="s">
        <v>3</v>
      </c>
      <c r="B23">
        <f t="shared" ref="B23:N23" si="2">SUM(B8:B22)</f>
        <v>81</v>
      </c>
      <c r="C23">
        <v>801.3737836290785</v>
      </c>
      <c r="D23">
        <f t="shared" si="2"/>
        <v>162</v>
      </c>
      <c r="E23">
        <v>695.13406156901692</v>
      </c>
      <c r="F23">
        <f t="shared" si="2"/>
        <v>395</v>
      </c>
      <c r="G23">
        <v>298.76227059325652</v>
      </c>
      <c r="H23">
        <f t="shared" si="2"/>
        <v>1059</v>
      </c>
      <c r="I23">
        <v>106.12492419648271</v>
      </c>
      <c r="J23">
        <f t="shared" si="2"/>
        <v>2034</v>
      </c>
      <c r="K23">
        <v>41.639402771994526</v>
      </c>
      <c r="L23">
        <f t="shared" si="2"/>
        <v>2191</v>
      </c>
      <c r="M23">
        <v>17.890230656188102</v>
      </c>
      <c r="N23">
        <f t="shared" si="2"/>
        <v>1384</v>
      </c>
      <c r="O23">
        <v>3.4594380884133527</v>
      </c>
      <c r="P23">
        <f t="shared" si="0"/>
        <v>536600.28897685662</v>
      </c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t="s">
        <v>26</v>
      </c>
      <c r="B31" s="2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41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t="s">
        <v>4</v>
      </c>
      <c r="B32" s="6">
        <v>5.0000000000000001E-4</v>
      </c>
      <c r="C32" s="27" t="s">
        <v>89</v>
      </c>
      <c r="K32">
        <v>1.9086731476959784</v>
      </c>
      <c r="L32">
        <v>3579.5667308061388</v>
      </c>
      <c r="M32">
        <f t="shared" ref="M32:M37" si="3">POWER(B32,1/K32)</f>
        <v>1.8642776379070129E-2</v>
      </c>
      <c r="N32">
        <f t="shared" ref="N32:N37" si="4">L32/M32</f>
        <v>192008.24265772165</v>
      </c>
      <c r="O32">
        <v>3116500</v>
      </c>
      <c r="P32">
        <f>O32*(K32/(1-K32))*POWER(L32,K32)*(-1)*POWER(N32,1-K32)</f>
        <v>628464683.58604097</v>
      </c>
      <c r="Q32">
        <f t="shared" ref="Q32:Q37" si="5">B32*O32</f>
        <v>1558.25</v>
      </c>
      <c r="R32">
        <f t="shared" ref="R32:R37" si="6">P32/Q32</f>
        <v>403314.41269760369</v>
      </c>
      <c r="S32">
        <f t="shared" ref="S32:S37" si="7">26.8926553672316*P32</f>
        <v>16901084146.155655</v>
      </c>
    </row>
    <row r="33" spans="1:19" ht="15" x14ac:dyDescent="0.25">
      <c r="A33" t="s">
        <v>4</v>
      </c>
      <c r="B33" s="6">
        <v>1E-3</v>
      </c>
      <c r="C33" s="27" t="s">
        <v>89</v>
      </c>
      <c r="K33">
        <v>1.9086731476959784</v>
      </c>
      <c r="L33">
        <v>3579.5667308061388</v>
      </c>
      <c r="M33">
        <f t="shared" si="3"/>
        <v>2.6805720298786685E-2</v>
      </c>
      <c r="N33">
        <f t="shared" si="4"/>
        <v>133537.42003225192</v>
      </c>
      <c r="O33">
        <v>3116500</v>
      </c>
      <c r="P33">
        <f>O33*(K33/(1-K33))*POWER(L33,K33)*(POWER(N32,1-K33)-POWER(N33,1-K33))+P32</f>
        <v>874166142.72200286</v>
      </c>
      <c r="Q33">
        <f t="shared" si="5"/>
        <v>3116.5</v>
      </c>
      <c r="R33">
        <f t="shared" si="6"/>
        <v>280496.11510412412</v>
      </c>
      <c r="S33">
        <f t="shared" si="7"/>
        <v>23508648809.925014</v>
      </c>
    </row>
    <row r="34" spans="1:19" ht="15" x14ac:dyDescent="0.25">
      <c r="A34" t="s">
        <v>90</v>
      </c>
      <c r="B34" s="6">
        <v>2.5000000000000001E-3</v>
      </c>
      <c r="C34">
        <f>S22/100</f>
        <v>1.7367409230037113E-3</v>
      </c>
      <c r="D34">
        <f>S21/100</f>
        <v>3.4307750992353999E-3</v>
      </c>
      <c r="E34">
        <v>100000</v>
      </c>
      <c r="F34">
        <v>70000</v>
      </c>
      <c r="G34">
        <f>D34/C34</f>
        <v>1.9754098344742399</v>
      </c>
      <c r="H34">
        <f>LN(G34)</f>
        <v>0.68077588795182697</v>
      </c>
      <c r="I34">
        <f>E34/F34</f>
        <v>1.4285714285714286</v>
      </c>
      <c r="J34">
        <f>LN(I34)</f>
        <v>0.35667494393873239</v>
      </c>
      <c r="K34">
        <f>H34/J34</f>
        <v>1.9086731476959784</v>
      </c>
      <c r="L34">
        <f>F34*((D34)^(1/K34))</f>
        <v>3579.5667308061388</v>
      </c>
      <c r="M34">
        <f t="shared" si="3"/>
        <v>4.3322935042813794E-2</v>
      </c>
      <c r="N34">
        <f t="shared" si="4"/>
        <v>82625.212887091795</v>
      </c>
      <c r="O34">
        <v>3116500</v>
      </c>
      <c r="P34">
        <f>O34*(K34/(1-K34))*POWER(L34,K34)*(POWER(N33,1-K34)-POWER(N34,1-K34))+P33</f>
        <v>1352208310.2932665</v>
      </c>
      <c r="Q34">
        <f t="shared" si="5"/>
        <v>7791.25</v>
      </c>
      <c r="R34">
        <f t="shared" si="6"/>
        <v>173554.73259018341</v>
      </c>
      <c r="S34">
        <f t="shared" si="7"/>
        <v>36364472073.423386</v>
      </c>
    </row>
    <row r="35" spans="1:19" ht="15" x14ac:dyDescent="0.25">
      <c r="A35" t="s">
        <v>91</v>
      </c>
      <c r="B35" s="6">
        <v>5.0000000000000001E-3</v>
      </c>
      <c r="C35">
        <f>S20/100</f>
        <v>4.6321958450339781E-3</v>
      </c>
      <c r="D35">
        <f>S19/100</f>
        <v>6.4916057592634482E-3</v>
      </c>
      <c r="E35">
        <v>60000</v>
      </c>
      <c r="F35">
        <v>50000</v>
      </c>
      <c r="G35">
        <f>D35/C35</f>
        <v>1.4014100388745181</v>
      </c>
      <c r="H35">
        <f>LN(G35)</f>
        <v>0.33747890038983358</v>
      </c>
      <c r="I35">
        <f>E35/F35</f>
        <v>1.2</v>
      </c>
      <c r="J35">
        <f>LN(I35)</f>
        <v>0.18232155679395459</v>
      </c>
      <c r="K35">
        <f>H35/J35</f>
        <v>1.8510093174074065</v>
      </c>
      <c r="L35">
        <f>F35*((D35)^(1/K35))</f>
        <v>3289.2921276025727</v>
      </c>
      <c r="M35">
        <f t="shared" si="3"/>
        <v>5.7131841276204264E-2</v>
      </c>
      <c r="N35">
        <f t="shared" si="4"/>
        <v>57573.711158729653</v>
      </c>
      <c r="O35">
        <v>3116500</v>
      </c>
      <c r="P35">
        <f>O35*(K35/(1-K35))*POWER(L35,K35)*(POWER(N34,1-K35)-POWER(N35,1-K35))+P34</f>
        <v>1868658629.4068317</v>
      </c>
      <c r="Q35">
        <f t="shared" si="5"/>
        <v>15582.5</v>
      </c>
      <c r="R35">
        <f t="shared" si="6"/>
        <v>119920.33559485523</v>
      </c>
      <c r="S35">
        <f t="shared" si="7"/>
        <v>50253192519.641281</v>
      </c>
    </row>
    <row r="36" spans="1:19" ht="15" x14ac:dyDescent="0.25">
      <c r="A36" t="s">
        <v>92</v>
      </c>
      <c r="B36" s="6">
        <v>0.01</v>
      </c>
      <c r="C36">
        <f>S18/100</f>
        <v>9.4530778190857305E-3</v>
      </c>
      <c r="D36">
        <f>S17/100</f>
        <v>1.62106456572889E-2</v>
      </c>
      <c r="E36">
        <v>40000</v>
      </c>
      <c r="F36">
        <v>30000</v>
      </c>
      <c r="G36">
        <f>D36/C36</f>
        <v>1.7148537193420395</v>
      </c>
      <c r="H36">
        <f>LN(G36)</f>
        <v>0.53932778213579924</v>
      </c>
      <c r="I36">
        <f>E36/F36</f>
        <v>1.3333333333333333</v>
      </c>
      <c r="J36">
        <f>LN(I36)</f>
        <v>0.28768207245178085</v>
      </c>
      <c r="K36">
        <f>H36/J36</f>
        <v>1.8747354589716305</v>
      </c>
      <c r="L36">
        <f>F36*((D36)^(1/K36))</f>
        <v>3328.2302354338763</v>
      </c>
      <c r="M36">
        <f t="shared" si="3"/>
        <v>8.5739869398629487E-2</v>
      </c>
      <c r="N36">
        <f t="shared" si="4"/>
        <v>38817.766562717399</v>
      </c>
      <c r="O36">
        <v>3116500</v>
      </c>
      <c r="P36">
        <f>O36*(K36/(1-K36))*POWER(L36,K36)*(POWER(N35,1-K36)-POWER(N36,1-K36))+P35</f>
        <v>2624822335.4248686</v>
      </c>
      <c r="Q36">
        <f t="shared" si="5"/>
        <v>31165</v>
      </c>
      <c r="R36">
        <f t="shared" si="6"/>
        <v>84223.402388091403</v>
      </c>
      <c r="S36">
        <f t="shared" si="7"/>
        <v>70588442466.792984</v>
      </c>
    </row>
    <row r="37" spans="1:19" ht="15" x14ac:dyDescent="0.25">
      <c r="A37" t="s">
        <v>93</v>
      </c>
      <c r="B37" s="6">
        <v>0.02</v>
      </c>
      <c r="C37">
        <f>S17/100</f>
        <v>1.62106456572889E-2</v>
      </c>
      <c r="D37">
        <f>S16/100</f>
        <v>2.1673272824323679E-2</v>
      </c>
      <c r="E37">
        <v>30000</v>
      </c>
      <c r="F37">
        <v>25000</v>
      </c>
      <c r="G37">
        <f>D37/C37</f>
        <v>1.3369777664949811</v>
      </c>
      <c r="H37">
        <f>LN(G37)</f>
        <v>0.29041166858361628</v>
      </c>
      <c r="I37">
        <f>E37/F37</f>
        <v>1.2</v>
      </c>
      <c r="J37">
        <f>LN(I37)</f>
        <v>0.18232155679395459</v>
      </c>
      <c r="K37">
        <f>H37/J37</f>
        <v>1.5928542608475891</v>
      </c>
      <c r="L37">
        <f>F37*((D37)^(1/K37))</f>
        <v>2255.41799374326</v>
      </c>
      <c r="M37">
        <f t="shared" si="3"/>
        <v>8.5778832350960746E-2</v>
      </c>
      <c r="N37">
        <f t="shared" si="4"/>
        <v>26293.40983000684</v>
      </c>
      <c r="O37">
        <v>3116500</v>
      </c>
      <c r="P37">
        <f>O37*(K37/(1-K37))*POWER(L37,K37)*(POWER(N36,1-K37)-POWER(N37,1-K37))+P36</f>
        <v>3532869208.0695491</v>
      </c>
      <c r="Q37">
        <f t="shared" si="5"/>
        <v>62330</v>
      </c>
      <c r="R37">
        <f t="shared" si="6"/>
        <v>56680.077138930676</v>
      </c>
      <c r="S37">
        <f t="shared" si="7"/>
        <v>95008234070.11882</v>
      </c>
    </row>
    <row r="45" spans="1:19" ht="15.75" x14ac:dyDescent="0.25">
      <c r="A45" s="1" t="s">
        <v>51</v>
      </c>
    </row>
    <row r="47" spans="1:19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1000</v>
      </c>
      <c r="B50">
        <v>0</v>
      </c>
      <c r="C50">
        <v>2211.6903633491311</v>
      </c>
      <c r="D50">
        <v>0</v>
      </c>
      <c r="E50">
        <v>1108.4718923198734</v>
      </c>
      <c r="F50">
        <v>1</v>
      </c>
      <c r="G50">
        <v>456.02605863192167</v>
      </c>
      <c r="H50">
        <v>2</v>
      </c>
      <c r="I50">
        <v>195.9686450167973</v>
      </c>
      <c r="J50">
        <v>2</v>
      </c>
      <c r="K50">
        <v>78.286640943913213</v>
      </c>
      <c r="L50">
        <v>3</v>
      </c>
      <c r="M50">
        <v>27.067785468466028</v>
      </c>
      <c r="N50">
        <v>2</v>
      </c>
      <c r="O50">
        <v>3.8759828385054771</v>
      </c>
      <c r="P50">
        <f>(B50*C50)+(D50*E50)+(F50*G50)+(H50*I50)+(J50*K50)+(L50*M50)+(N50*O50)</f>
        <v>1093.4919526357517</v>
      </c>
    </row>
    <row r="51" spans="1:19" x14ac:dyDescent="0.2">
      <c r="A51">
        <v>2000</v>
      </c>
      <c r="B51">
        <v>0</v>
      </c>
      <c r="C51">
        <v>2211.6903633491311</v>
      </c>
      <c r="D51">
        <v>2</v>
      </c>
      <c r="E51">
        <v>1108.4718923198734</v>
      </c>
      <c r="F51">
        <v>2</v>
      </c>
      <c r="G51">
        <v>456.02605863192167</v>
      </c>
      <c r="H51">
        <v>12</v>
      </c>
      <c r="I51">
        <v>195.9686450167973</v>
      </c>
      <c r="J51">
        <v>43</v>
      </c>
      <c r="K51">
        <v>78.286640943913213</v>
      </c>
      <c r="L51">
        <v>48</v>
      </c>
      <c r="M51">
        <v>27.067785468466028</v>
      </c>
      <c r="N51">
        <v>45</v>
      </c>
      <c r="O51">
        <v>3.8759828385054771</v>
      </c>
      <c r="P51">
        <f t="shared" ref="P51:P65" si="8">(B51*C51)+(D51*E51)+(F51*G51)+(H51*I51)+(J51*K51)+(L51*M51)+(N51*O51)</f>
        <v>10320.618132912539</v>
      </c>
    </row>
    <row r="52" spans="1:19" x14ac:dyDescent="0.2">
      <c r="A52">
        <v>3000</v>
      </c>
      <c r="B52">
        <v>1</v>
      </c>
      <c r="C52">
        <v>2211.6903633491311</v>
      </c>
      <c r="D52">
        <v>4</v>
      </c>
      <c r="E52">
        <v>1108.4718923198734</v>
      </c>
      <c r="F52">
        <v>19</v>
      </c>
      <c r="G52">
        <v>456.02605863192167</v>
      </c>
      <c r="H52">
        <v>31</v>
      </c>
      <c r="I52">
        <v>195.9686450167973</v>
      </c>
      <c r="J52">
        <v>83</v>
      </c>
      <c r="K52">
        <v>78.286640943913213</v>
      </c>
      <c r="L52">
        <v>148</v>
      </c>
      <c r="M52">
        <v>27.067785468466028</v>
      </c>
      <c r="N52">
        <v>115</v>
      </c>
      <c r="O52">
        <v>3.8759828385054771</v>
      </c>
      <c r="P52">
        <f t="shared" si="8"/>
        <v>32334.662516261753</v>
      </c>
    </row>
    <row r="53" spans="1:19" x14ac:dyDescent="0.2">
      <c r="A53">
        <v>4000</v>
      </c>
      <c r="B53">
        <v>1</v>
      </c>
      <c r="C53">
        <v>2211.6903633491311</v>
      </c>
      <c r="D53">
        <v>2</v>
      </c>
      <c r="E53">
        <v>1108.4718923198734</v>
      </c>
      <c r="F53">
        <v>10</v>
      </c>
      <c r="G53">
        <v>456.02605863192167</v>
      </c>
      <c r="H53">
        <v>22</v>
      </c>
      <c r="I53">
        <v>195.9686450167973</v>
      </c>
      <c r="J53">
        <v>51</v>
      </c>
      <c r="K53">
        <v>78.286640943913213</v>
      </c>
      <c r="L53">
        <v>94</v>
      </c>
      <c r="M53">
        <v>27.067785468466028</v>
      </c>
      <c r="N53">
        <v>108</v>
      </c>
      <c r="O53">
        <v>3.8759828385054771</v>
      </c>
      <c r="P53">
        <f t="shared" si="8"/>
        <v>20255.801593411608</v>
      </c>
    </row>
    <row r="54" spans="1:19" x14ac:dyDescent="0.2">
      <c r="A54">
        <v>5000</v>
      </c>
      <c r="B54">
        <v>0</v>
      </c>
      <c r="C54">
        <v>2211.6903633491311</v>
      </c>
      <c r="D54">
        <v>11</v>
      </c>
      <c r="E54">
        <v>1108.4718923198734</v>
      </c>
      <c r="F54">
        <v>51</v>
      </c>
      <c r="G54">
        <v>456.02605863192167</v>
      </c>
      <c r="H54">
        <v>133</v>
      </c>
      <c r="I54">
        <v>195.9686450167973</v>
      </c>
      <c r="J54">
        <v>367</v>
      </c>
      <c r="K54">
        <v>78.286640943913213</v>
      </c>
      <c r="L54">
        <v>552</v>
      </c>
      <c r="M54">
        <v>27.067785468466028</v>
      </c>
      <c r="N54">
        <v>563</v>
      </c>
      <c r="O54">
        <v>3.8759828385054771</v>
      </c>
      <c r="P54">
        <f t="shared" si="8"/>
        <v>107369.14273606862</v>
      </c>
    </row>
    <row r="55" spans="1:19" x14ac:dyDescent="0.2">
      <c r="A55">
        <v>10000</v>
      </c>
      <c r="B55">
        <v>1</v>
      </c>
      <c r="C55">
        <v>2211.6903633491311</v>
      </c>
      <c r="D55">
        <v>5</v>
      </c>
      <c r="E55">
        <v>1108.4718923198734</v>
      </c>
      <c r="F55">
        <v>16</v>
      </c>
      <c r="G55">
        <v>456.02605863192167</v>
      </c>
      <c r="H55">
        <v>48</v>
      </c>
      <c r="I55">
        <v>195.9686450167973</v>
      </c>
      <c r="J55">
        <v>126</v>
      </c>
      <c r="K55">
        <v>78.286640943913213</v>
      </c>
      <c r="L55">
        <v>219</v>
      </c>
      <c r="M55">
        <v>27.067785468466028</v>
      </c>
      <c r="N55">
        <v>235</v>
      </c>
      <c r="O55">
        <v>3.8759828385054771</v>
      </c>
      <c r="P55">
        <f t="shared" si="8"/>
        <v>41159.779467441425</v>
      </c>
      <c r="Q55" s="3">
        <f>P55+Q56</f>
        <v>89064.552815203409</v>
      </c>
      <c r="R55">
        <v>3089600</v>
      </c>
      <c r="S55">
        <f>(Q55/R55)*100</f>
        <v>2.8827211553341345</v>
      </c>
    </row>
    <row r="56" spans="1:19" x14ac:dyDescent="0.2">
      <c r="A56">
        <v>15000</v>
      </c>
      <c r="B56">
        <v>0</v>
      </c>
      <c r="C56">
        <v>2211.6903633491311</v>
      </c>
      <c r="D56">
        <v>2</v>
      </c>
      <c r="E56">
        <v>1108.4718923198734</v>
      </c>
      <c r="F56">
        <v>4</v>
      </c>
      <c r="G56">
        <v>456.02605863192167</v>
      </c>
      <c r="H56">
        <v>25</v>
      </c>
      <c r="I56">
        <v>195.9686450167973</v>
      </c>
      <c r="J56">
        <v>61</v>
      </c>
      <c r="K56">
        <v>78.286640943913213</v>
      </c>
      <c r="L56">
        <v>100</v>
      </c>
      <c r="M56">
        <v>27.067785468466028</v>
      </c>
      <c r="N56">
        <v>117</v>
      </c>
      <c r="O56">
        <v>3.8759828385054771</v>
      </c>
      <c r="P56">
        <f t="shared" si="8"/>
        <v>16876.017781117815</v>
      </c>
      <c r="Q56" s="3">
        <f>P56+Q57</f>
        <v>47904.773347761991</v>
      </c>
      <c r="R56">
        <v>3089600</v>
      </c>
      <c r="S56">
        <f t="shared" ref="S56:S64" si="9">(Q56/R56)*100</f>
        <v>1.5505170037468277</v>
      </c>
    </row>
    <row r="57" spans="1:19" x14ac:dyDescent="0.2">
      <c r="A57">
        <v>20000</v>
      </c>
      <c r="B57">
        <v>0</v>
      </c>
      <c r="C57">
        <v>2211.6903633491311</v>
      </c>
      <c r="D57">
        <v>0</v>
      </c>
      <c r="E57">
        <v>1108.4718923198734</v>
      </c>
      <c r="F57">
        <v>6</v>
      </c>
      <c r="G57">
        <v>456.02605863192167</v>
      </c>
      <c r="H57">
        <v>12</v>
      </c>
      <c r="I57">
        <v>195.9686450167973</v>
      </c>
      <c r="J57">
        <v>27</v>
      </c>
      <c r="K57">
        <v>78.286640943913213</v>
      </c>
      <c r="L57">
        <v>43</v>
      </c>
      <c r="M57">
        <v>27.067785468466028</v>
      </c>
      <c r="N57">
        <v>70</v>
      </c>
      <c r="O57">
        <v>3.8759828385054771</v>
      </c>
      <c r="P57">
        <f t="shared" si="8"/>
        <v>8636.7529713181775</v>
      </c>
      <c r="Q57" s="3">
        <f>P57+Q58</f>
        <v>31028.755566644177</v>
      </c>
      <c r="R57">
        <v>3089600</v>
      </c>
      <c r="S57">
        <f t="shared" si="9"/>
        <v>1.0042968528820617</v>
      </c>
    </row>
    <row r="58" spans="1:19" x14ac:dyDescent="0.2">
      <c r="A58">
        <v>25000</v>
      </c>
      <c r="B58">
        <v>0</v>
      </c>
      <c r="C58">
        <v>2211.6903633491311</v>
      </c>
      <c r="D58">
        <v>0</v>
      </c>
      <c r="E58">
        <v>1108.4718923198734</v>
      </c>
      <c r="F58">
        <v>1</v>
      </c>
      <c r="G58">
        <v>456.02605863192167</v>
      </c>
      <c r="H58">
        <v>11</v>
      </c>
      <c r="I58">
        <v>195.9686450167973</v>
      </c>
      <c r="J58">
        <v>21</v>
      </c>
      <c r="K58">
        <v>78.286640943913213</v>
      </c>
      <c r="L58">
        <v>40</v>
      </c>
      <c r="M58">
        <v>27.067785468466028</v>
      </c>
      <c r="N58">
        <v>31</v>
      </c>
      <c r="O58">
        <v>3.8759828385054771</v>
      </c>
      <c r="P58">
        <f t="shared" si="8"/>
        <v>5458.5675003711813</v>
      </c>
      <c r="Q58" s="3">
        <f>P58+Q59</f>
        <v>22392.002595325997</v>
      </c>
      <c r="R58">
        <v>3089600</v>
      </c>
      <c r="S58">
        <f t="shared" si="9"/>
        <v>0.72475409746653274</v>
      </c>
    </row>
    <row r="59" spans="1:19" x14ac:dyDescent="0.2">
      <c r="A59">
        <v>30000</v>
      </c>
      <c r="B59">
        <v>0</v>
      </c>
      <c r="C59">
        <v>2211.6903633491311</v>
      </c>
      <c r="D59">
        <v>1</v>
      </c>
      <c r="E59">
        <v>1108.4718923198734</v>
      </c>
      <c r="F59">
        <v>1</v>
      </c>
      <c r="G59">
        <v>456.02605863192167</v>
      </c>
      <c r="H59">
        <v>11</v>
      </c>
      <c r="I59">
        <v>195.9686450167973</v>
      </c>
      <c r="J59">
        <v>14</v>
      </c>
      <c r="K59">
        <v>78.286640943913213</v>
      </c>
      <c r="L59">
        <v>44</v>
      </c>
      <c r="M59">
        <v>27.067785468466028</v>
      </c>
      <c r="N59">
        <v>42</v>
      </c>
      <c r="O59">
        <v>3.8759828385054771</v>
      </c>
      <c r="P59">
        <f t="shared" si="8"/>
        <v>6169.9398591810859</v>
      </c>
      <c r="Q59" s="3">
        <f>P59+Q60</f>
        <v>16933.435094954817</v>
      </c>
      <c r="R59">
        <v>3089600</v>
      </c>
      <c r="S59">
        <f t="shared" si="9"/>
        <v>0.54807855693147389</v>
      </c>
    </row>
    <row r="60" spans="1:19" x14ac:dyDescent="0.2">
      <c r="A60">
        <v>40000</v>
      </c>
      <c r="B60">
        <v>0</v>
      </c>
      <c r="C60">
        <v>2211.6903633491311</v>
      </c>
      <c r="D60">
        <v>2</v>
      </c>
      <c r="E60">
        <v>1108.4718923198734</v>
      </c>
      <c r="F60">
        <v>0</v>
      </c>
      <c r="G60">
        <v>456.02605863192167</v>
      </c>
      <c r="H60">
        <v>5</v>
      </c>
      <c r="I60">
        <v>195.9686450167973</v>
      </c>
      <c r="J60">
        <v>12</v>
      </c>
      <c r="K60">
        <v>78.286640943913213</v>
      </c>
      <c r="L60">
        <v>25</v>
      </c>
      <c r="M60">
        <v>27.067785468466028</v>
      </c>
      <c r="N60">
        <v>31</v>
      </c>
      <c r="O60">
        <v>3.8759828385054771</v>
      </c>
      <c r="P60">
        <f t="shared" si="8"/>
        <v>4933.0768057560126</v>
      </c>
      <c r="Q60" s="3">
        <f>P60+P61+P62+P63+P64</f>
        <v>10763.495235773733</v>
      </c>
      <c r="R60">
        <v>3089600</v>
      </c>
      <c r="S60">
        <f t="shared" si="9"/>
        <v>0.34837827666279558</v>
      </c>
    </row>
    <row r="61" spans="1:19" x14ac:dyDescent="0.2">
      <c r="A61">
        <v>50000</v>
      </c>
      <c r="B61">
        <v>0</v>
      </c>
      <c r="C61">
        <v>2211.6903633491311</v>
      </c>
      <c r="D61">
        <v>1</v>
      </c>
      <c r="E61">
        <v>1108.4718923198734</v>
      </c>
      <c r="F61">
        <v>1</v>
      </c>
      <c r="G61">
        <v>456.02605863192167</v>
      </c>
      <c r="H61">
        <v>1</v>
      </c>
      <c r="I61">
        <v>195.9686450167973</v>
      </c>
      <c r="J61">
        <v>5</v>
      </c>
      <c r="K61">
        <v>78.286640943913213</v>
      </c>
      <c r="L61">
        <v>9</v>
      </c>
      <c r="M61">
        <v>27.067785468466028</v>
      </c>
      <c r="N61">
        <v>18</v>
      </c>
      <c r="O61">
        <v>3.8759828385054771</v>
      </c>
      <c r="P61">
        <f t="shared" si="8"/>
        <v>2465.2775609974515</v>
      </c>
      <c r="Q61" s="3">
        <f>P61+P62+P63+P64</f>
        <v>5830.4184300177212</v>
      </c>
      <c r="R61">
        <v>3089600</v>
      </c>
      <c r="S61">
        <f t="shared" si="9"/>
        <v>0.18871110920564868</v>
      </c>
    </row>
    <row r="62" spans="1:19" x14ac:dyDescent="0.2">
      <c r="A62">
        <v>60000</v>
      </c>
      <c r="B62">
        <v>0</v>
      </c>
      <c r="C62">
        <v>2211.6903633491311</v>
      </c>
      <c r="D62">
        <v>0</v>
      </c>
      <c r="E62">
        <v>1108.4718923198734</v>
      </c>
      <c r="F62">
        <v>0</v>
      </c>
      <c r="G62">
        <v>456.02605863192167</v>
      </c>
      <c r="H62">
        <v>0</v>
      </c>
      <c r="I62">
        <v>195.9686450167973</v>
      </c>
      <c r="J62">
        <v>2</v>
      </c>
      <c r="K62">
        <v>78.286640943913213</v>
      </c>
      <c r="L62">
        <v>3</v>
      </c>
      <c r="M62">
        <v>27.067785468466028</v>
      </c>
      <c r="N62">
        <v>7</v>
      </c>
      <c r="O62">
        <v>3.8759828385054771</v>
      </c>
      <c r="P62">
        <f t="shared" si="8"/>
        <v>264.90851816276285</v>
      </c>
      <c r="Q62" s="3">
        <f>P63+P62+P64</f>
        <v>3365.1408690202697</v>
      </c>
      <c r="R62">
        <v>3089600</v>
      </c>
      <c r="S62">
        <f t="shared" si="9"/>
        <v>0.10891833470417756</v>
      </c>
    </row>
    <row r="63" spans="1:19" x14ac:dyDescent="0.2">
      <c r="A63">
        <v>70000</v>
      </c>
      <c r="B63">
        <v>0</v>
      </c>
      <c r="C63">
        <v>2211.6903633491311</v>
      </c>
      <c r="D63">
        <v>0</v>
      </c>
      <c r="E63">
        <v>1108.4718923198734</v>
      </c>
      <c r="F63">
        <v>2</v>
      </c>
      <c r="G63">
        <v>456.02605863192167</v>
      </c>
      <c r="H63">
        <v>0</v>
      </c>
      <c r="I63">
        <v>195.9686450167973</v>
      </c>
      <c r="J63">
        <v>4</v>
      </c>
      <c r="K63">
        <v>78.286640943913213</v>
      </c>
      <c r="L63">
        <v>15</v>
      </c>
      <c r="M63">
        <v>27.067785468466028</v>
      </c>
      <c r="N63">
        <v>16</v>
      </c>
      <c r="O63">
        <v>3.8759828385054771</v>
      </c>
      <c r="P63">
        <f t="shared" si="8"/>
        <v>1693.2311884825745</v>
      </c>
      <c r="Q63" s="3">
        <f>P64+P63</f>
        <v>3100.2323508575064</v>
      </c>
      <c r="R63">
        <v>3089600</v>
      </c>
      <c r="S63">
        <f t="shared" si="9"/>
        <v>0.10034413357255005</v>
      </c>
    </row>
    <row r="64" spans="1:19" x14ac:dyDescent="0.2">
      <c r="A64" t="s">
        <v>4</v>
      </c>
      <c r="B64">
        <v>0</v>
      </c>
      <c r="C64">
        <v>2211.6903633491311</v>
      </c>
      <c r="D64">
        <v>0</v>
      </c>
      <c r="E64">
        <v>1108.4718923198734</v>
      </c>
      <c r="F64">
        <v>1</v>
      </c>
      <c r="G64">
        <v>456.02605863192167</v>
      </c>
      <c r="H64">
        <v>1</v>
      </c>
      <c r="I64">
        <v>195.9686450167973</v>
      </c>
      <c r="J64">
        <v>5</v>
      </c>
      <c r="K64">
        <v>78.286640943913213</v>
      </c>
      <c r="L64">
        <v>12</v>
      </c>
      <c r="M64">
        <v>27.067785468466028</v>
      </c>
      <c r="N64">
        <v>10</v>
      </c>
      <c r="O64">
        <v>3.8759828385054771</v>
      </c>
      <c r="P64">
        <f t="shared" si="8"/>
        <v>1407.0011623749322</v>
      </c>
      <c r="Q64" s="3">
        <f>P64</f>
        <v>1407.0011623749322</v>
      </c>
      <c r="R64">
        <v>3089600</v>
      </c>
      <c r="S64">
        <f t="shared" si="9"/>
        <v>4.5539913334248193E-2</v>
      </c>
    </row>
    <row r="65" spans="1:21" x14ac:dyDescent="0.2">
      <c r="A65" t="s">
        <v>3</v>
      </c>
      <c r="B65">
        <v>3</v>
      </c>
      <c r="C65">
        <v>2211.6903633491311</v>
      </c>
      <c r="D65">
        <v>30</v>
      </c>
      <c r="E65">
        <v>1108.4718923198734</v>
      </c>
      <c r="F65">
        <v>115</v>
      </c>
      <c r="G65">
        <v>456.02605863192167</v>
      </c>
      <c r="H65">
        <v>314</v>
      </c>
      <c r="I65">
        <v>195.9686450167973</v>
      </c>
      <c r="J65">
        <v>823</v>
      </c>
      <c r="K65">
        <v>78.286640943913213</v>
      </c>
      <c r="L65">
        <v>1355</v>
      </c>
      <c r="M65">
        <v>27.067785468466028</v>
      </c>
      <c r="N65">
        <v>1410</v>
      </c>
      <c r="O65">
        <v>3.8759828385054771</v>
      </c>
      <c r="P65">
        <f t="shared" si="8"/>
        <v>260438.26974649369</v>
      </c>
    </row>
    <row r="69" spans="1:21" ht="15" x14ac:dyDescent="0.25">
      <c r="A69" s="2" t="s">
        <v>24</v>
      </c>
    </row>
    <row r="70" spans="1:21" x14ac:dyDescent="0.2">
      <c r="G70" t="s">
        <v>25</v>
      </c>
    </row>
    <row r="72" spans="1:21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  <c r="T72" s="2"/>
      <c r="U72" s="2"/>
    </row>
    <row r="73" spans="1:21" ht="15" x14ac:dyDescent="0.25">
      <c r="A73" t="s">
        <v>90</v>
      </c>
      <c r="B73" s="6">
        <v>5.0000000000000001E-4</v>
      </c>
      <c r="C73">
        <f>S64/100</f>
        <v>4.5539913334248191E-4</v>
      </c>
      <c r="D73">
        <f>S63/100</f>
        <v>1.0034413357255004E-3</v>
      </c>
      <c r="E73">
        <v>100000</v>
      </c>
      <c r="F73">
        <v>70000</v>
      </c>
      <c r="G73">
        <f t="shared" ref="G73:G78" si="10">D73/C73</f>
        <v>2.2034326863131395</v>
      </c>
      <c r="H73">
        <f t="shared" ref="H73:H78" si="11">LN(G73)</f>
        <v>0.79001645630283246</v>
      </c>
      <c r="I73">
        <f t="shared" ref="I73:I78" si="12">E73/F73</f>
        <v>1.4285714285714286</v>
      </c>
      <c r="J73">
        <f t="shared" ref="J73:J78" si="13">LN(I73)</f>
        <v>0.35667494393873239</v>
      </c>
      <c r="K73">
        <f t="shared" ref="K73:K78" si="14">H73/J73</f>
        <v>2.2149480072212109</v>
      </c>
      <c r="L73">
        <f t="shared" ref="L73:L78" si="15">F73*((D73)^(1/K73))</f>
        <v>3099.8311685472427</v>
      </c>
      <c r="M73">
        <f t="shared" ref="M73:M78" si="16">POWER(B73,1/K73)</f>
        <v>3.2333894828207414E-2</v>
      </c>
      <c r="N73">
        <f t="shared" ref="N73:N78" si="17">L73/M73</f>
        <v>95869.402217607727</v>
      </c>
      <c r="O73">
        <v>3089600</v>
      </c>
      <c r="P73">
        <f>O73*(K73/(1-K73))*POWER(L73,K73)*(-1)*POWER(N73,1-K73)</f>
        <v>269996493.14857888</v>
      </c>
      <c r="Q73">
        <f t="shared" ref="Q73:Q78" si="18">B73*O73</f>
        <v>1544.8</v>
      </c>
      <c r="R73">
        <f t="shared" ref="R73:R78" si="19">P73/Q73</f>
        <v>174777.63668344051</v>
      </c>
      <c r="S73">
        <f t="shared" ref="S73:S78" si="20">26.8926553672316*P73</f>
        <v>7260922640.6058397</v>
      </c>
    </row>
    <row r="74" spans="1:21" ht="15" x14ac:dyDescent="0.25">
      <c r="A74" t="s">
        <v>90</v>
      </c>
      <c r="B74" s="6">
        <v>1E-3</v>
      </c>
      <c r="C74">
        <f>S64/100</f>
        <v>4.5539913334248191E-4</v>
      </c>
      <c r="D74">
        <f>S63/100</f>
        <v>1.0034413357255004E-3</v>
      </c>
      <c r="E74">
        <v>100000</v>
      </c>
      <c r="F74">
        <v>70000</v>
      </c>
      <c r="G74">
        <f t="shared" si="10"/>
        <v>2.2034326863131395</v>
      </c>
      <c r="H74">
        <f t="shared" si="11"/>
        <v>0.79001645630283246</v>
      </c>
      <c r="I74">
        <f t="shared" si="12"/>
        <v>1.4285714285714286</v>
      </c>
      <c r="J74">
        <f t="shared" si="13"/>
        <v>0.35667494393873239</v>
      </c>
      <c r="K74">
        <f t="shared" si="14"/>
        <v>2.2149480072212109</v>
      </c>
      <c r="L74">
        <f t="shared" si="15"/>
        <v>3099.8311685472427</v>
      </c>
      <c r="M74">
        <f t="shared" si="16"/>
        <v>4.4214671373479793E-2</v>
      </c>
      <c r="N74">
        <f t="shared" si="17"/>
        <v>70108.655617115786</v>
      </c>
      <c r="O74">
        <v>3089600</v>
      </c>
      <c r="P74">
        <f>O74*(K74/(1-K74))*POWER(L74,K74)*(POWER(N73,1-K74)-POWER(N74,1-K74))+P73</f>
        <v>394893276.0218274</v>
      </c>
      <c r="Q74">
        <f t="shared" si="18"/>
        <v>3089.6</v>
      </c>
      <c r="R74">
        <f t="shared" si="19"/>
        <v>127813.72217174631</v>
      </c>
      <c r="S74">
        <f t="shared" si="20"/>
        <v>10619728778.892067</v>
      </c>
    </row>
    <row r="75" spans="1:21" ht="15" x14ac:dyDescent="0.25">
      <c r="A75" t="s">
        <v>94</v>
      </c>
      <c r="B75" s="6">
        <v>2.5000000000000001E-3</v>
      </c>
      <c r="C75">
        <f>S61/100</f>
        <v>1.8871110920564869E-3</v>
      </c>
      <c r="D75">
        <f>S60/100</f>
        <v>3.4837827666279559E-3</v>
      </c>
      <c r="E75">
        <v>50000</v>
      </c>
      <c r="F75">
        <v>40000</v>
      </c>
      <c r="G75">
        <f t="shared" si="10"/>
        <v>1.8460931003439176</v>
      </c>
      <c r="H75">
        <f t="shared" si="11"/>
        <v>0.61307156836468313</v>
      </c>
      <c r="I75">
        <f t="shared" si="12"/>
        <v>1.25</v>
      </c>
      <c r="J75">
        <f t="shared" si="13"/>
        <v>0.22314355131420976</v>
      </c>
      <c r="K75">
        <f t="shared" si="14"/>
        <v>2.7474312600744324</v>
      </c>
      <c r="L75">
        <f t="shared" si="15"/>
        <v>5098.2920712925206</v>
      </c>
      <c r="M75">
        <f t="shared" si="16"/>
        <v>0.11295662394813441</v>
      </c>
      <c r="N75">
        <f t="shared" si="17"/>
        <v>45134.954401908042</v>
      </c>
      <c r="O75">
        <v>3089600</v>
      </c>
      <c r="P75">
        <f>O75*(K75/(1-K75))*POWER(L75,K75)*(POWER(N74,1-K75)-POWER(N75,1-K75))+P74</f>
        <v>689116626.7699213</v>
      </c>
      <c r="Q75">
        <f t="shared" si="18"/>
        <v>7724</v>
      </c>
      <c r="R75">
        <f t="shared" si="19"/>
        <v>89217.585029767128</v>
      </c>
      <c r="S75">
        <f t="shared" si="20"/>
        <v>18532175951.552662</v>
      </c>
    </row>
    <row r="76" spans="1:21" ht="15" x14ac:dyDescent="0.25">
      <c r="A76" t="s">
        <v>92</v>
      </c>
      <c r="B76" s="6">
        <v>5.0000000000000001E-3</v>
      </c>
      <c r="C76">
        <f>S60/100</f>
        <v>3.4837827666279559E-3</v>
      </c>
      <c r="D76">
        <f>S59/100</f>
        <v>5.4807855693147388E-3</v>
      </c>
      <c r="E76">
        <v>40000</v>
      </c>
      <c r="F76">
        <v>30000</v>
      </c>
      <c r="G76">
        <f t="shared" si="10"/>
        <v>1.5732282798504493</v>
      </c>
      <c r="H76">
        <f t="shared" si="11"/>
        <v>0.453129737418559</v>
      </c>
      <c r="I76">
        <f t="shared" si="12"/>
        <v>1.3333333333333333</v>
      </c>
      <c r="J76">
        <f t="shared" si="13"/>
        <v>0.28768207245178085</v>
      </c>
      <c r="K76">
        <f t="shared" si="14"/>
        <v>1.5751059270282102</v>
      </c>
      <c r="L76">
        <f t="shared" si="15"/>
        <v>1100.4300604951975</v>
      </c>
      <c r="M76">
        <f t="shared" si="16"/>
        <v>3.4604041611050788E-2</v>
      </c>
      <c r="N76">
        <f t="shared" si="17"/>
        <v>31800.622391569879</v>
      </c>
      <c r="O76">
        <v>3089600</v>
      </c>
      <c r="P76">
        <f>O76*(K76/(1-K76))*POWER(L76,K76)*(POWER(N75,1-K76)-POWER(N76,1-K76))+P75</f>
        <v>934531746.76044798</v>
      </c>
      <c r="Q76">
        <f t="shared" si="18"/>
        <v>15448</v>
      </c>
      <c r="R76">
        <f t="shared" si="19"/>
        <v>60495.32280945417</v>
      </c>
      <c r="S76">
        <f t="shared" si="20"/>
        <v>25132040195.365685</v>
      </c>
    </row>
    <row r="77" spans="1:21" ht="15" x14ac:dyDescent="0.25">
      <c r="A77" t="s">
        <v>95</v>
      </c>
      <c r="B77" s="6">
        <v>0.01</v>
      </c>
      <c r="C77">
        <f>S58/100</f>
        <v>7.2475409746653278E-3</v>
      </c>
      <c r="D77">
        <f>S57/100</f>
        <v>1.0042968528820617E-2</v>
      </c>
      <c r="E77">
        <v>25000</v>
      </c>
      <c r="F77">
        <v>20000</v>
      </c>
      <c r="G77">
        <f t="shared" si="10"/>
        <v>1.3857070369007984</v>
      </c>
      <c r="H77">
        <f t="shared" si="11"/>
        <v>0.32621050533782497</v>
      </c>
      <c r="I77">
        <f t="shared" si="12"/>
        <v>1.25</v>
      </c>
      <c r="J77">
        <f t="shared" si="13"/>
        <v>0.22314355131420976</v>
      </c>
      <c r="K77">
        <f t="shared" si="14"/>
        <v>1.4618863212340205</v>
      </c>
      <c r="L77">
        <f t="shared" si="15"/>
        <v>859.4256848279673</v>
      </c>
      <c r="M77">
        <f t="shared" si="16"/>
        <v>4.2845436013656327E-2</v>
      </c>
      <c r="N77">
        <f t="shared" si="17"/>
        <v>20058.745219771798</v>
      </c>
      <c r="O77">
        <v>3089600</v>
      </c>
      <c r="P77">
        <f>O77*(K77/(1-K77))*POWER(L77,K77)*(POWER(N76,1-K77)-POWER(N77,1-K77))+P76</f>
        <v>1310587244.3496881</v>
      </c>
      <c r="Q77">
        <f t="shared" si="18"/>
        <v>30896</v>
      </c>
      <c r="R77">
        <f t="shared" si="19"/>
        <v>42419.31785181538</v>
      </c>
      <c r="S77">
        <f t="shared" si="20"/>
        <v>35245171090.985909</v>
      </c>
    </row>
    <row r="78" spans="1:21" ht="15" x14ac:dyDescent="0.25">
      <c r="A78" t="s">
        <v>96</v>
      </c>
      <c r="B78" s="6">
        <v>0.02</v>
      </c>
      <c r="C78">
        <f>S56/100</f>
        <v>1.5505170037468277E-2</v>
      </c>
      <c r="D78">
        <f>S55/100</f>
        <v>2.8827211553341347E-2</v>
      </c>
      <c r="E78">
        <v>15000</v>
      </c>
      <c r="F78">
        <v>10000</v>
      </c>
      <c r="G78">
        <f t="shared" si="10"/>
        <v>1.8591999625725051</v>
      </c>
      <c r="H78">
        <f t="shared" si="11"/>
        <v>0.62014626754448721</v>
      </c>
      <c r="I78">
        <f t="shared" si="12"/>
        <v>1.5</v>
      </c>
      <c r="J78">
        <f t="shared" si="13"/>
        <v>0.40546510810816438</v>
      </c>
      <c r="K78">
        <f t="shared" si="14"/>
        <v>1.5294688868247897</v>
      </c>
      <c r="L78">
        <f t="shared" si="15"/>
        <v>983.97822538192167</v>
      </c>
      <c r="M78">
        <f t="shared" si="16"/>
        <v>7.747765818497232E-2</v>
      </c>
      <c r="N78">
        <f t="shared" si="17"/>
        <v>12700.154450109278</v>
      </c>
      <c r="O78">
        <v>3089600</v>
      </c>
      <c r="P78">
        <f>O78*(K78/(1-K78))*POWER(L78,K78)*(POWER(N77,1-K78)-POWER(N78,1-K78))+P77</f>
        <v>1797843496.5897019</v>
      </c>
      <c r="Q78">
        <f t="shared" si="18"/>
        <v>61792</v>
      </c>
      <c r="R78">
        <f t="shared" si="19"/>
        <v>29095.085069097971</v>
      </c>
      <c r="S78">
        <f t="shared" si="20"/>
        <v>48348785558.005478</v>
      </c>
    </row>
    <row r="81" spans="1:6" ht="15" x14ac:dyDescent="0.25">
      <c r="A81" s="15" t="s">
        <v>60</v>
      </c>
      <c r="B81" s="16"/>
    </row>
    <row r="82" spans="1:6" ht="15" x14ac:dyDescent="0.25">
      <c r="A82" s="2" t="s">
        <v>61</v>
      </c>
    </row>
    <row r="84" spans="1:6" ht="15" x14ac:dyDescent="0.25">
      <c r="A84" s="2" t="s">
        <v>27</v>
      </c>
      <c r="B84" s="2" t="s">
        <v>62</v>
      </c>
      <c r="C84" s="2" t="s">
        <v>135</v>
      </c>
      <c r="D84" s="17"/>
      <c r="E84" s="17"/>
      <c r="F84" s="2" t="s">
        <v>63</v>
      </c>
    </row>
    <row r="85" spans="1:6" x14ac:dyDescent="0.2">
      <c r="A85" s="18">
        <v>5.0000000000000001E-4</v>
      </c>
      <c r="B85">
        <f t="shared" ref="B85:B90" si="21">S32+S73</f>
        <v>24162006786.761494</v>
      </c>
      <c r="C85">
        <v>830678448275.86194</v>
      </c>
      <c r="F85">
        <f>B85/C85*100</f>
        <v>2.9087075554821036</v>
      </c>
    </row>
    <row r="86" spans="1:6" x14ac:dyDescent="0.2">
      <c r="A86" s="18">
        <v>1E-3</v>
      </c>
      <c r="B86">
        <f t="shared" si="21"/>
        <v>34128377588.817081</v>
      </c>
      <c r="C86">
        <v>830678448275.86194</v>
      </c>
      <c r="F86">
        <f t="shared" ref="F86:F90" si="22">B86/C86*100</f>
        <v>4.1084944071503475</v>
      </c>
    </row>
    <row r="87" spans="1:6" x14ac:dyDescent="0.2">
      <c r="A87" s="18">
        <v>2.5000000000000001E-3</v>
      </c>
      <c r="B87">
        <f t="shared" si="21"/>
        <v>54896648024.976044</v>
      </c>
      <c r="C87">
        <v>830678448275.86194</v>
      </c>
      <c r="F87">
        <f t="shared" si="22"/>
        <v>6.6086520167843918</v>
      </c>
    </row>
    <row r="88" spans="1:6" x14ac:dyDescent="0.2">
      <c r="A88" s="18">
        <v>5.0000000000000001E-3</v>
      </c>
      <c r="B88">
        <f t="shared" si="21"/>
        <v>75385232715.006958</v>
      </c>
      <c r="C88">
        <v>830678448275.86194</v>
      </c>
      <c r="F88">
        <f t="shared" si="22"/>
        <v>9.0751400703214227</v>
      </c>
    </row>
    <row r="89" spans="1:6" x14ac:dyDescent="0.2">
      <c r="A89" s="19">
        <v>0.01</v>
      </c>
      <c r="B89">
        <f t="shared" si="21"/>
        <v>105833613557.7789</v>
      </c>
      <c r="C89">
        <v>830678448275.86194</v>
      </c>
      <c r="F89">
        <f t="shared" si="22"/>
        <v>12.740623496064554</v>
      </c>
    </row>
    <row r="90" spans="1:6" x14ac:dyDescent="0.2">
      <c r="A90" s="19">
        <v>0.02</v>
      </c>
      <c r="B90">
        <f t="shared" si="21"/>
        <v>143357019628.1243</v>
      </c>
      <c r="C90">
        <v>830678448275.86194</v>
      </c>
      <c r="F90">
        <f t="shared" si="22"/>
        <v>17.257823400338964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A60" zoomScale="80" zoomScaleNormal="80" workbookViewId="0">
      <selection activeCell="G84" sqref="G84"/>
    </sheetView>
  </sheetViews>
  <sheetFormatPr defaultRowHeight="12.75" x14ac:dyDescent="0.2"/>
  <cols>
    <col min="1" max="1" width="13.7109375" customWidth="1"/>
    <col min="2" max="2" width="29.140625" customWidth="1"/>
    <col min="3" max="3" width="15.5703125" customWidth="1"/>
    <col min="4" max="4" width="12.28515625" customWidth="1"/>
    <col min="5" max="5" width="14.5703125" customWidth="1"/>
    <col min="6" max="7" width="13.7109375" customWidth="1"/>
    <col min="8" max="8" width="12" customWidth="1"/>
    <col min="9" max="9" width="14.85546875" customWidth="1"/>
    <col min="10" max="10" width="11.42578125" customWidth="1"/>
    <col min="11" max="11" width="13.5703125" customWidth="1"/>
    <col min="12" max="12" width="12.42578125" bestFit="1" customWidth="1"/>
    <col min="13" max="13" width="15.85546875" customWidth="1"/>
    <col min="14" max="14" width="15" customWidth="1"/>
    <col min="15" max="15" width="13.42578125" customWidth="1"/>
    <col min="16" max="16" width="16.140625" customWidth="1"/>
    <col min="17" max="17" width="25.42578125" customWidth="1"/>
    <col min="18" max="18" width="16" customWidth="1"/>
    <col min="19" max="19" width="20.28515625" customWidth="1"/>
    <col min="20" max="20" width="18" customWidth="1"/>
    <col min="21" max="21" width="17.7109375" customWidth="1"/>
    <col min="257" max="257" width="13.7109375" customWidth="1"/>
    <col min="258" max="258" width="29.140625" customWidth="1"/>
    <col min="259" max="259" width="15.5703125" customWidth="1"/>
    <col min="260" max="260" width="12.28515625" customWidth="1"/>
    <col min="261" max="261" width="14.5703125" customWidth="1"/>
    <col min="262" max="263" width="13.7109375" customWidth="1"/>
    <col min="264" max="264" width="12" customWidth="1"/>
    <col min="265" max="265" width="14.85546875" customWidth="1"/>
    <col min="266" max="266" width="11.42578125" customWidth="1"/>
    <col min="267" max="267" width="13.5703125" customWidth="1"/>
    <col min="268" max="268" width="12.42578125" bestFit="1" customWidth="1"/>
    <col min="269" max="269" width="14.28515625" customWidth="1"/>
    <col min="270" max="270" width="15" customWidth="1"/>
    <col min="271" max="271" width="13.42578125" customWidth="1"/>
    <col min="272" max="272" width="16.140625" customWidth="1"/>
    <col min="273" max="273" width="25.42578125" customWidth="1"/>
    <col min="274" max="274" width="16" customWidth="1"/>
    <col min="275" max="275" width="20.28515625" customWidth="1"/>
    <col min="276" max="276" width="18" customWidth="1"/>
    <col min="277" max="277" width="17.7109375" customWidth="1"/>
    <col min="513" max="513" width="13.7109375" customWidth="1"/>
    <col min="514" max="514" width="29.140625" customWidth="1"/>
    <col min="515" max="515" width="15.5703125" customWidth="1"/>
    <col min="516" max="516" width="12.28515625" customWidth="1"/>
    <col min="517" max="517" width="14.5703125" customWidth="1"/>
    <col min="518" max="519" width="13.7109375" customWidth="1"/>
    <col min="520" max="520" width="12" customWidth="1"/>
    <col min="521" max="521" width="14.85546875" customWidth="1"/>
    <col min="522" max="522" width="11.42578125" customWidth="1"/>
    <col min="523" max="523" width="13.5703125" customWidth="1"/>
    <col min="524" max="524" width="12.42578125" bestFit="1" customWidth="1"/>
    <col min="525" max="525" width="14.28515625" customWidth="1"/>
    <col min="526" max="526" width="15" customWidth="1"/>
    <col min="527" max="527" width="13.42578125" customWidth="1"/>
    <col min="528" max="528" width="16.140625" customWidth="1"/>
    <col min="529" max="529" width="25.42578125" customWidth="1"/>
    <col min="530" max="530" width="16" customWidth="1"/>
    <col min="531" max="531" width="20.28515625" customWidth="1"/>
    <col min="532" max="532" width="18" customWidth="1"/>
    <col min="533" max="533" width="17.7109375" customWidth="1"/>
    <col min="769" max="769" width="13.7109375" customWidth="1"/>
    <col min="770" max="770" width="29.140625" customWidth="1"/>
    <col min="771" max="771" width="15.5703125" customWidth="1"/>
    <col min="772" max="772" width="12.28515625" customWidth="1"/>
    <col min="773" max="773" width="14.5703125" customWidth="1"/>
    <col min="774" max="775" width="13.7109375" customWidth="1"/>
    <col min="776" max="776" width="12" customWidth="1"/>
    <col min="777" max="777" width="14.85546875" customWidth="1"/>
    <col min="778" max="778" width="11.42578125" customWidth="1"/>
    <col min="779" max="779" width="13.5703125" customWidth="1"/>
    <col min="780" max="780" width="12.42578125" bestFit="1" customWidth="1"/>
    <col min="781" max="781" width="14.28515625" customWidth="1"/>
    <col min="782" max="782" width="15" customWidth="1"/>
    <col min="783" max="783" width="13.42578125" customWidth="1"/>
    <col min="784" max="784" width="16.140625" customWidth="1"/>
    <col min="785" max="785" width="25.42578125" customWidth="1"/>
    <col min="786" max="786" width="16" customWidth="1"/>
    <col min="787" max="787" width="20.28515625" customWidth="1"/>
    <col min="788" max="788" width="18" customWidth="1"/>
    <col min="789" max="789" width="17.7109375" customWidth="1"/>
    <col min="1025" max="1025" width="13.7109375" customWidth="1"/>
    <col min="1026" max="1026" width="29.140625" customWidth="1"/>
    <col min="1027" max="1027" width="15.5703125" customWidth="1"/>
    <col min="1028" max="1028" width="12.28515625" customWidth="1"/>
    <col min="1029" max="1029" width="14.5703125" customWidth="1"/>
    <col min="1030" max="1031" width="13.7109375" customWidth="1"/>
    <col min="1032" max="1032" width="12" customWidth="1"/>
    <col min="1033" max="1033" width="14.85546875" customWidth="1"/>
    <col min="1034" max="1034" width="11.42578125" customWidth="1"/>
    <col min="1035" max="1035" width="13.5703125" customWidth="1"/>
    <col min="1036" max="1036" width="12.42578125" bestFit="1" customWidth="1"/>
    <col min="1037" max="1037" width="14.28515625" customWidth="1"/>
    <col min="1038" max="1038" width="15" customWidth="1"/>
    <col min="1039" max="1039" width="13.42578125" customWidth="1"/>
    <col min="1040" max="1040" width="16.140625" customWidth="1"/>
    <col min="1041" max="1041" width="25.42578125" customWidth="1"/>
    <col min="1042" max="1042" width="16" customWidth="1"/>
    <col min="1043" max="1043" width="20.28515625" customWidth="1"/>
    <col min="1044" max="1044" width="18" customWidth="1"/>
    <col min="1045" max="1045" width="17.7109375" customWidth="1"/>
    <col min="1281" max="1281" width="13.7109375" customWidth="1"/>
    <col min="1282" max="1282" width="29.140625" customWidth="1"/>
    <col min="1283" max="1283" width="15.5703125" customWidth="1"/>
    <col min="1284" max="1284" width="12.28515625" customWidth="1"/>
    <col min="1285" max="1285" width="14.5703125" customWidth="1"/>
    <col min="1286" max="1287" width="13.7109375" customWidth="1"/>
    <col min="1288" max="1288" width="12" customWidth="1"/>
    <col min="1289" max="1289" width="14.85546875" customWidth="1"/>
    <col min="1290" max="1290" width="11.42578125" customWidth="1"/>
    <col min="1291" max="1291" width="13.5703125" customWidth="1"/>
    <col min="1292" max="1292" width="12.42578125" bestFit="1" customWidth="1"/>
    <col min="1293" max="1293" width="14.28515625" customWidth="1"/>
    <col min="1294" max="1294" width="15" customWidth="1"/>
    <col min="1295" max="1295" width="13.42578125" customWidth="1"/>
    <col min="1296" max="1296" width="16.140625" customWidth="1"/>
    <col min="1297" max="1297" width="25.42578125" customWidth="1"/>
    <col min="1298" max="1298" width="16" customWidth="1"/>
    <col min="1299" max="1299" width="20.28515625" customWidth="1"/>
    <col min="1300" max="1300" width="18" customWidth="1"/>
    <col min="1301" max="1301" width="17.7109375" customWidth="1"/>
    <col min="1537" max="1537" width="13.7109375" customWidth="1"/>
    <col min="1538" max="1538" width="29.140625" customWidth="1"/>
    <col min="1539" max="1539" width="15.5703125" customWidth="1"/>
    <col min="1540" max="1540" width="12.28515625" customWidth="1"/>
    <col min="1541" max="1541" width="14.5703125" customWidth="1"/>
    <col min="1542" max="1543" width="13.7109375" customWidth="1"/>
    <col min="1544" max="1544" width="12" customWidth="1"/>
    <col min="1545" max="1545" width="14.85546875" customWidth="1"/>
    <col min="1546" max="1546" width="11.42578125" customWidth="1"/>
    <col min="1547" max="1547" width="13.5703125" customWidth="1"/>
    <col min="1548" max="1548" width="12.42578125" bestFit="1" customWidth="1"/>
    <col min="1549" max="1549" width="14.28515625" customWidth="1"/>
    <col min="1550" max="1550" width="15" customWidth="1"/>
    <col min="1551" max="1551" width="13.42578125" customWidth="1"/>
    <col min="1552" max="1552" width="16.140625" customWidth="1"/>
    <col min="1553" max="1553" width="25.42578125" customWidth="1"/>
    <col min="1554" max="1554" width="16" customWidth="1"/>
    <col min="1555" max="1555" width="20.28515625" customWidth="1"/>
    <col min="1556" max="1556" width="18" customWidth="1"/>
    <col min="1557" max="1557" width="17.7109375" customWidth="1"/>
    <col min="1793" max="1793" width="13.7109375" customWidth="1"/>
    <col min="1794" max="1794" width="29.140625" customWidth="1"/>
    <col min="1795" max="1795" width="15.5703125" customWidth="1"/>
    <col min="1796" max="1796" width="12.28515625" customWidth="1"/>
    <col min="1797" max="1797" width="14.5703125" customWidth="1"/>
    <col min="1798" max="1799" width="13.7109375" customWidth="1"/>
    <col min="1800" max="1800" width="12" customWidth="1"/>
    <col min="1801" max="1801" width="14.85546875" customWidth="1"/>
    <col min="1802" max="1802" width="11.42578125" customWidth="1"/>
    <col min="1803" max="1803" width="13.5703125" customWidth="1"/>
    <col min="1804" max="1804" width="12.42578125" bestFit="1" customWidth="1"/>
    <col min="1805" max="1805" width="14.28515625" customWidth="1"/>
    <col min="1806" max="1806" width="15" customWidth="1"/>
    <col min="1807" max="1807" width="13.42578125" customWidth="1"/>
    <col min="1808" max="1808" width="16.140625" customWidth="1"/>
    <col min="1809" max="1809" width="25.42578125" customWidth="1"/>
    <col min="1810" max="1810" width="16" customWidth="1"/>
    <col min="1811" max="1811" width="20.28515625" customWidth="1"/>
    <col min="1812" max="1812" width="18" customWidth="1"/>
    <col min="1813" max="1813" width="17.7109375" customWidth="1"/>
    <col min="2049" max="2049" width="13.7109375" customWidth="1"/>
    <col min="2050" max="2050" width="29.140625" customWidth="1"/>
    <col min="2051" max="2051" width="15.5703125" customWidth="1"/>
    <col min="2052" max="2052" width="12.28515625" customWidth="1"/>
    <col min="2053" max="2053" width="14.5703125" customWidth="1"/>
    <col min="2054" max="2055" width="13.7109375" customWidth="1"/>
    <col min="2056" max="2056" width="12" customWidth="1"/>
    <col min="2057" max="2057" width="14.85546875" customWidth="1"/>
    <col min="2058" max="2058" width="11.42578125" customWidth="1"/>
    <col min="2059" max="2059" width="13.5703125" customWidth="1"/>
    <col min="2060" max="2060" width="12.42578125" bestFit="1" customWidth="1"/>
    <col min="2061" max="2061" width="14.28515625" customWidth="1"/>
    <col min="2062" max="2062" width="15" customWidth="1"/>
    <col min="2063" max="2063" width="13.42578125" customWidth="1"/>
    <col min="2064" max="2064" width="16.140625" customWidth="1"/>
    <col min="2065" max="2065" width="25.42578125" customWidth="1"/>
    <col min="2066" max="2066" width="16" customWidth="1"/>
    <col min="2067" max="2067" width="20.28515625" customWidth="1"/>
    <col min="2068" max="2068" width="18" customWidth="1"/>
    <col min="2069" max="2069" width="17.7109375" customWidth="1"/>
    <col min="2305" max="2305" width="13.7109375" customWidth="1"/>
    <col min="2306" max="2306" width="29.140625" customWidth="1"/>
    <col min="2307" max="2307" width="15.5703125" customWidth="1"/>
    <col min="2308" max="2308" width="12.28515625" customWidth="1"/>
    <col min="2309" max="2309" width="14.5703125" customWidth="1"/>
    <col min="2310" max="2311" width="13.7109375" customWidth="1"/>
    <col min="2312" max="2312" width="12" customWidth="1"/>
    <col min="2313" max="2313" width="14.85546875" customWidth="1"/>
    <col min="2314" max="2314" width="11.42578125" customWidth="1"/>
    <col min="2315" max="2315" width="13.5703125" customWidth="1"/>
    <col min="2316" max="2316" width="12.42578125" bestFit="1" customWidth="1"/>
    <col min="2317" max="2317" width="14.28515625" customWidth="1"/>
    <col min="2318" max="2318" width="15" customWidth="1"/>
    <col min="2319" max="2319" width="13.42578125" customWidth="1"/>
    <col min="2320" max="2320" width="16.140625" customWidth="1"/>
    <col min="2321" max="2321" width="25.42578125" customWidth="1"/>
    <col min="2322" max="2322" width="16" customWidth="1"/>
    <col min="2323" max="2323" width="20.28515625" customWidth="1"/>
    <col min="2324" max="2324" width="18" customWidth="1"/>
    <col min="2325" max="2325" width="17.7109375" customWidth="1"/>
    <col min="2561" max="2561" width="13.7109375" customWidth="1"/>
    <col min="2562" max="2562" width="29.140625" customWidth="1"/>
    <col min="2563" max="2563" width="15.5703125" customWidth="1"/>
    <col min="2564" max="2564" width="12.28515625" customWidth="1"/>
    <col min="2565" max="2565" width="14.5703125" customWidth="1"/>
    <col min="2566" max="2567" width="13.7109375" customWidth="1"/>
    <col min="2568" max="2568" width="12" customWidth="1"/>
    <col min="2569" max="2569" width="14.85546875" customWidth="1"/>
    <col min="2570" max="2570" width="11.42578125" customWidth="1"/>
    <col min="2571" max="2571" width="13.5703125" customWidth="1"/>
    <col min="2572" max="2572" width="12.42578125" bestFit="1" customWidth="1"/>
    <col min="2573" max="2573" width="14.28515625" customWidth="1"/>
    <col min="2574" max="2574" width="15" customWidth="1"/>
    <col min="2575" max="2575" width="13.42578125" customWidth="1"/>
    <col min="2576" max="2576" width="16.140625" customWidth="1"/>
    <col min="2577" max="2577" width="25.42578125" customWidth="1"/>
    <col min="2578" max="2578" width="16" customWidth="1"/>
    <col min="2579" max="2579" width="20.28515625" customWidth="1"/>
    <col min="2580" max="2580" width="18" customWidth="1"/>
    <col min="2581" max="2581" width="17.7109375" customWidth="1"/>
    <col min="2817" max="2817" width="13.7109375" customWidth="1"/>
    <col min="2818" max="2818" width="29.140625" customWidth="1"/>
    <col min="2819" max="2819" width="15.5703125" customWidth="1"/>
    <col min="2820" max="2820" width="12.28515625" customWidth="1"/>
    <col min="2821" max="2821" width="14.5703125" customWidth="1"/>
    <col min="2822" max="2823" width="13.7109375" customWidth="1"/>
    <col min="2824" max="2824" width="12" customWidth="1"/>
    <col min="2825" max="2825" width="14.85546875" customWidth="1"/>
    <col min="2826" max="2826" width="11.42578125" customWidth="1"/>
    <col min="2827" max="2827" width="13.5703125" customWidth="1"/>
    <col min="2828" max="2828" width="12.42578125" bestFit="1" customWidth="1"/>
    <col min="2829" max="2829" width="14.28515625" customWidth="1"/>
    <col min="2830" max="2830" width="15" customWidth="1"/>
    <col min="2831" max="2831" width="13.42578125" customWidth="1"/>
    <col min="2832" max="2832" width="16.140625" customWidth="1"/>
    <col min="2833" max="2833" width="25.42578125" customWidth="1"/>
    <col min="2834" max="2834" width="16" customWidth="1"/>
    <col min="2835" max="2835" width="20.28515625" customWidth="1"/>
    <col min="2836" max="2836" width="18" customWidth="1"/>
    <col min="2837" max="2837" width="17.7109375" customWidth="1"/>
    <col min="3073" max="3073" width="13.7109375" customWidth="1"/>
    <col min="3074" max="3074" width="29.140625" customWidth="1"/>
    <col min="3075" max="3075" width="15.5703125" customWidth="1"/>
    <col min="3076" max="3076" width="12.28515625" customWidth="1"/>
    <col min="3077" max="3077" width="14.5703125" customWidth="1"/>
    <col min="3078" max="3079" width="13.7109375" customWidth="1"/>
    <col min="3080" max="3080" width="12" customWidth="1"/>
    <col min="3081" max="3081" width="14.85546875" customWidth="1"/>
    <col min="3082" max="3082" width="11.42578125" customWidth="1"/>
    <col min="3083" max="3083" width="13.5703125" customWidth="1"/>
    <col min="3084" max="3084" width="12.42578125" bestFit="1" customWidth="1"/>
    <col min="3085" max="3085" width="14.28515625" customWidth="1"/>
    <col min="3086" max="3086" width="15" customWidth="1"/>
    <col min="3087" max="3087" width="13.42578125" customWidth="1"/>
    <col min="3088" max="3088" width="16.140625" customWidth="1"/>
    <col min="3089" max="3089" width="25.42578125" customWidth="1"/>
    <col min="3090" max="3090" width="16" customWidth="1"/>
    <col min="3091" max="3091" width="20.28515625" customWidth="1"/>
    <col min="3092" max="3092" width="18" customWidth="1"/>
    <col min="3093" max="3093" width="17.7109375" customWidth="1"/>
    <col min="3329" max="3329" width="13.7109375" customWidth="1"/>
    <col min="3330" max="3330" width="29.140625" customWidth="1"/>
    <col min="3331" max="3331" width="15.5703125" customWidth="1"/>
    <col min="3332" max="3332" width="12.28515625" customWidth="1"/>
    <col min="3333" max="3333" width="14.5703125" customWidth="1"/>
    <col min="3334" max="3335" width="13.7109375" customWidth="1"/>
    <col min="3336" max="3336" width="12" customWidth="1"/>
    <col min="3337" max="3337" width="14.85546875" customWidth="1"/>
    <col min="3338" max="3338" width="11.42578125" customWidth="1"/>
    <col min="3339" max="3339" width="13.5703125" customWidth="1"/>
    <col min="3340" max="3340" width="12.42578125" bestFit="1" customWidth="1"/>
    <col min="3341" max="3341" width="14.28515625" customWidth="1"/>
    <col min="3342" max="3342" width="15" customWidth="1"/>
    <col min="3343" max="3343" width="13.42578125" customWidth="1"/>
    <col min="3344" max="3344" width="16.140625" customWidth="1"/>
    <col min="3345" max="3345" width="25.42578125" customWidth="1"/>
    <col min="3346" max="3346" width="16" customWidth="1"/>
    <col min="3347" max="3347" width="20.28515625" customWidth="1"/>
    <col min="3348" max="3348" width="18" customWidth="1"/>
    <col min="3349" max="3349" width="17.7109375" customWidth="1"/>
    <col min="3585" max="3585" width="13.7109375" customWidth="1"/>
    <col min="3586" max="3586" width="29.140625" customWidth="1"/>
    <col min="3587" max="3587" width="15.5703125" customWidth="1"/>
    <col min="3588" max="3588" width="12.28515625" customWidth="1"/>
    <col min="3589" max="3589" width="14.5703125" customWidth="1"/>
    <col min="3590" max="3591" width="13.7109375" customWidth="1"/>
    <col min="3592" max="3592" width="12" customWidth="1"/>
    <col min="3593" max="3593" width="14.85546875" customWidth="1"/>
    <col min="3594" max="3594" width="11.42578125" customWidth="1"/>
    <col min="3595" max="3595" width="13.5703125" customWidth="1"/>
    <col min="3596" max="3596" width="12.42578125" bestFit="1" customWidth="1"/>
    <col min="3597" max="3597" width="14.28515625" customWidth="1"/>
    <col min="3598" max="3598" width="15" customWidth="1"/>
    <col min="3599" max="3599" width="13.42578125" customWidth="1"/>
    <col min="3600" max="3600" width="16.140625" customWidth="1"/>
    <col min="3601" max="3601" width="25.42578125" customWidth="1"/>
    <col min="3602" max="3602" width="16" customWidth="1"/>
    <col min="3603" max="3603" width="20.28515625" customWidth="1"/>
    <col min="3604" max="3604" width="18" customWidth="1"/>
    <col min="3605" max="3605" width="17.7109375" customWidth="1"/>
    <col min="3841" max="3841" width="13.7109375" customWidth="1"/>
    <col min="3842" max="3842" width="29.140625" customWidth="1"/>
    <col min="3843" max="3843" width="15.5703125" customWidth="1"/>
    <col min="3844" max="3844" width="12.28515625" customWidth="1"/>
    <col min="3845" max="3845" width="14.5703125" customWidth="1"/>
    <col min="3846" max="3847" width="13.7109375" customWidth="1"/>
    <col min="3848" max="3848" width="12" customWidth="1"/>
    <col min="3849" max="3849" width="14.85546875" customWidth="1"/>
    <col min="3850" max="3850" width="11.42578125" customWidth="1"/>
    <col min="3851" max="3851" width="13.5703125" customWidth="1"/>
    <col min="3852" max="3852" width="12.42578125" bestFit="1" customWidth="1"/>
    <col min="3853" max="3853" width="14.28515625" customWidth="1"/>
    <col min="3854" max="3854" width="15" customWidth="1"/>
    <col min="3855" max="3855" width="13.42578125" customWidth="1"/>
    <col min="3856" max="3856" width="16.140625" customWidth="1"/>
    <col min="3857" max="3857" width="25.42578125" customWidth="1"/>
    <col min="3858" max="3858" width="16" customWidth="1"/>
    <col min="3859" max="3859" width="20.28515625" customWidth="1"/>
    <col min="3860" max="3860" width="18" customWidth="1"/>
    <col min="3861" max="3861" width="17.7109375" customWidth="1"/>
    <col min="4097" max="4097" width="13.7109375" customWidth="1"/>
    <col min="4098" max="4098" width="29.140625" customWidth="1"/>
    <col min="4099" max="4099" width="15.5703125" customWidth="1"/>
    <col min="4100" max="4100" width="12.28515625" customWidth="1"/>
    <col min="4101" max="4101" width="14.5703125" customWidth="1"/>
    <col min="4102" max="4103" width="13.7109375" customWidth="1"/>
    <col min="4104" max="4104" width="12" customWidth="1"/>
    <col min="4105" max="4105" width="14.85546875" customWidth="1"/>
    <col min="4106" max="4106" width="11.42578125" customWidth="1"/>
    <col min="4107" max="4107" width="13.5703125" customWidth="1"/>
    <col min="4108" max="4108" width="12.42578125" bestFit="1" customWidth="1"/>
    <col min="4109" max="4109" width="14.28515625" customWidth="1"/>
    <col min="4110" max="4110" width="15" customWidth="1"/>
    <col min="4111" max="4111" width="13.42578125" customWidth="1"/>
    <col min="4112" max="4112" width="16.140625" customWidth="1"/>
    <col min="4113" max="4113" width="25.42578125" customWidth="1"/>
    <col min="4114" max="4114" width="16" customWidth="1"/>
    <col min="4115" max="4115" width="20.28515625" customWidth="1"/>
    <col min="4116" max="4116" width="18" customWidth="1"/>
    <col min="4117" max="4117" width="17.7109375" customWidth="1"/>
    <col min="4353" max="4353" width="13.7109375" customWidth="1"/>
    <col min="4354" max="4354" width="29.140625" customWidth="1"/>
    <col min="4355" max="4355" width="15.5703125" customWidth="1"/>
    <col min="4356" max="4356" width="12.28515625" customWidth="1"/>
    <col min="4357" max="4357" width="14.5703125" customWidth="1"/>
    <col min="4358" max="4359" width="13.7109375" customWidth="1"/>
    <col min="4360" max="4360" width="12" customWidth="1"/>
    <col min="4361" max="4361" width="14.85546875" customWidth="1"/>
    <col min="4362" max="4362" width="11.42578125" customWidth="1"/>
    <col min="4363" max="4363" width="13.5703125" customWidth="1"/>
    <col min="4364" max="4364" width="12.42578125" bestFit="1" customWidth="1"/>
    <col min="4365" max="4365" width="14.28515625" customWidth="1"/>
    <col min="4366" max="4366" width="15" customWidth="1"/>
    <col min="4367" max="4367" width="13.42578125" customWidth="1"/>
    <col min="4368" max="4368" width="16.140625" customWidth="1"/>
    <col min="4369" max="4369" width="25.42578125" customWidth="1"/>
    <col min="4370" max="4370" width="16" customWidth="1"/>
    <col min="4371" max="4371" width="20.28515625" customWidth="1"/>
    <col min="4372" max="4372" width="18" customWidth="1"/>
    <col min="4373" max="4373" width="17.7109375" customWidth="1"/>
    <col min="4609" max="4609" width="13.7109375" customWidth="1"/>
    <col min="4610" max="4610" width="29.140625" customWidth="1"/>
    <col min="4611" max="4611" width="15.5703125" customWidth="1"/>
    <col min="4612" max="4612" width="12.28515625" customWidth="1"/>
    <col min="4613" max="4613" width="14.5703125" customWidth="1"/>
    <col min="4614" max="4615" width="13.7109375" customWidth="1"/>
    <col min="4616" max="4616" width="12" customWidth="1"/>
    <col min="4617" max="4617" width="14.85546875" customWidth="1"/>
    <col min="4618" max="4618" width="11.42578125" customWidth="1"/>
    <col min="4619" max="4619" width="13.5703125" customWidth="1"/>
    <col min="4620" max="4620" width="12.42578125" bestFit="1" customWidth="1"/>
    <col min="4621" max="4621" width="14.28515625" customWidth="1"/>
    <col min="4622" max="4622" width="15" customWidth="1"/>
    <col min="4623" max="4623" width="13.42578125" customWidth="1"/>
    <col min="4624" max="4624" width="16.140625" customWidth="1"/>
    <col min="4625" max="4625" width="25.42578125" customWidth="1"/>
    <col min="4626" max="4626" width="16" customWidth="1"/>
    <col min="4627" max="4627" width="20.28515625" customWidth="1"/>
    <col min="4628" max="4628" width="18" customWidth="1"/>
    <col min="4629" max="4629" width="17.7109375" customWidth="1"/>
    <col min="4865" max="4865" width="13.7109375" customWidth="1"/>
    <col min="4866" max="4866" width="29.140625" customWidth="1"/>
    <col min="4867" max="4867" width="15.5703125" customWidth="1"/>
    <col min="4868" max="4868" width="12.28515625" customWidth="1"/>
    <col min="4869" max="4869" width="14.5703125" customWidth="1"/>
    <col min="4870" max="4871" width="13.7109375" customWidth="1"/>
    <col min="4872" max="4872" width="12" customWidth="1"/>
    <col min="4873" max="4873" width="14.85546875" customWidth="1"/>
    <col min="4874" max="4874" width="11.42578125" customWidth="1"/>
    <col min="4875" max="4875" width="13.5703125" customWidth="1"/>
    <col min="4876" max="4876" width="12.42578125" bestFit="1" customWidth="1"/>
    <col min="4877" max="4877" width="14.28515625" customWidth="1"/>
    <col min="4878" max="4878" width="15" customWidth="1"/>
    <col min="4879" max="4879" width="13.42578125" customWidth="1"/>
    <col min="4880" max="4880" width="16.140625" customWidth="1"/>
    <col min="4881" max="4881" width="25.42578125" customWidth="1"/>
    <col min="4882" max="4882" width="16" customWidth="1"/>
    <col min="4883" max="4883" width="20.28515625" customWidth="1"/>
    <col min="4884" max="4884" width="18" customWidth="1"/>
    <col min="4885" max="4885" width="17.7109375" customWidth="1"/>
    <col min="5121" max="5121" width="13.7109375" customWidth="1"/>
    <col min="5122" max="5122" width="29.140625" customWidth="1"/>
    <col min="5123" max="5123" width="15.5703125" customWidth="1"/>
    <col min="5124" max="5124" width="12.28515625" customWidth="1"/>
    <col min="5125" max="5125" width="14.5703125" customWidth="1"/>
    <col min="5126" max="5127" width="13.7109375" customWidth="1"/>
    <col min="5128" max="5128" width="12" customWidth="1"/>
    <col min="5129" max="5129" width="14.85546875" customWidth="1"/>
    <col min="5130" max="5130" width="11.42578125" customWidth="1"/>
    <col min="5131" max="5131" width="13.5703125" customWidth="1"/>
    <col min="5132" max="5132" width="12.42578125" bestFit="1" customWidth="1"/>
    <col min="5133" max="5133" width="14.28515625" customWidth="1"/>
    <col min="5134" max="5134" width="15" customWidth="1"/>
    <col min="5135" max="5135" width="13.42578125" customWidth="1"/>
    <col min="5136" max="5136" width="16.140625" customWidth="1"/>
    <col min="5137" max="5137" width="25.42578125" customWidth="1"/>
    <col min="5138" max="5138" width="16" customWidth="1"/>
    <col min="5139" max="5139" width="20.28515625" customWidth="1"/>
    <col min="5140" max="5140" width="18" customWidth="1"/>
    <col min="5141" max="5141" width="17.7109375" customWidth="1"/>
    <col min="5377" max="5377" width="13.7109375" customWidth="1"/>
    <col min="5378" max="5378" width="29.140625" customWidth="1"/>
    <col min="5379" max="5379" width="15.5703125" customWidth="1"/>
    <col min="5380" max="5380" width="12.28515625" customWidth="1"/>
    <col min="5381" max="5381" width="14.5703125" customWidth="1"/>
    <col min="5382" max="5383" width="13.7109375" customWidth="1"/>
    <col min="5384" max="5384" width="12" customWidth="1"/>
    <col min="5385" max="5385" width="14.85546875" customWidth="1"/>
    <col min="5386" max="5386" width="11.42578125" customWidth="1"/>
    <col min="5387" max="5387" width="13.5703125" customWidth="1"/>
    <col min="5388" max="5388" width="12.42578125" bestFit="1" customWidth="1"/>
    <col min="5389" max="5389" width="14.28515625" customWidth="1"/>
    <col min="5390" max="5390" width="15" customWidth="1"/>
    <col min="5391" max="5391" width="13.42578125" customWidth="1"/>
    <col min="5392" max="5392" width="16.140625" customWidth="1"/>
    <col min="5393" max="5393" width="25.42578125" customWidth="1"/>
    <col min="5394" max="5394" width="16" customWidth="1"/>
    <col min="5395" max="5395" width="20.28515625" customWidth="1"/>
    <col min="5396" max="5396" width="18" customWidth="1"/>
    <col min="5397" max="5397" width="17.7109375" customWidth="1"/>
    <col min="5633" max="5633" width="13.7109375" customWidth="1"/>
    <col min="5634" max="5634" width="29.140625" customWidth="1"/>
    <col min="5635" max="5635" width="15.5703125" customWidth="1"/>
    <col min="5636" max="5636" width="12.28515625" customWidth="1"/>
    <col min="5637" max="5637" width="14.5703125" customWidth="1"/>
    <col min="5638" max="5639" width="13.7109375" customWidth="1"/>
    <col min="5640" max="5640" width="12" customWidth="1"/>
    <col min="5641" max="5641" width="14.85546875" customWidth="1"/>
    <col min="5642" max="5642" width="11.42578125" customWidth="1"/>
    <col min="5643" max="5643" width="13.5703125" customWidth="1"/>
    <col min="5644" max="5644" width="12.42578125" bestFit="1" customWidth="1"/>
    <col min="5645" max="5645" width="14.28515625" customWidth="1"/>
    <col min="5646" max="5646" width="15" customWidth="1"/>
    <col min="5647" max="5647" width="13.42578125" customWidth="1"/>
    <col min="5648" max="5648" width="16.140625" customWidth="1"/>
    <col min="5649" max="5649" width="25.42578125" customWidth="1"/>
    <col min="5650" max="5650" width="16" customWidth="1"/>
    <col min="5651" max="5651" width="20.28515625" customWidth="1"/>
    <col min="5652" max="5652" width="18" customWidth="1"/>
    <col min="5653" max="5653" width="17.7109375" customWidth="1"/>
    <col min="5889" max="5889" width="13.7109375" customWidth="1"/>
    <col min="5890" max="5890" width="29.140625" customWidth="1"/>
    <col min="5891" max="5891" width="15.5703125" customWidth="1"/>
    <col min="5892" max="5892" width="12.28515625" customWidth="1"/>
    <col min="5893" max="5893" width="14.5703125" customWidth="1"/>
    <col min="5894" max="5895" width="13.7109375" customWidth="1"/>
    <col min="5896" max="5896" width="12" customWidth="1"/>
    <col min="5897" max="5897" width="14.85546875" customWidth="1"/>
    <col min="5898" max="5898" width="11.42578125" customWidth="1"/>
    <col min="5899" max="5899" width="13.5703125" customWidth="1"/>
    <col min="5900" max="5900" width="12.42578125" bestFit="1" customWidth="1"/>
    <col min="5901" max="5901" width="14.28515625" customWidth="1"/>
    <col min="5902" max="5902" width="15" customWidth="1"/>
    <col min="5903" max="5903" width="13.42578125" customWidth="1"/>
    <col min="5904" max="5904" width="16.140625" customWidth="1"/>
    <col min="5905" max="5905" width="25.42578125" customWidth="1"/>
    <col min="5906" max="5906" width="16" customWidth="1"/>
    <col min="5907" max="5907" width="20.28515625" customWidth="1"/>
    <col min="5908" max="5908" width="18" customWidth="1"/>
    <col min="5909" max="5909" width="17.7109375" customWidth="1"/>
    <col min="6145" max="6145" width="13.7109375" customWidth="1"/>
    <col min="6146" max="6146" width="29.140625" customWidth="1"/>
    <col min="6147" max="6147" width="15.5703125" customWidth="1"/>
    <col min="6148" max="6148" width="12.28515625" customWidth="1"/>
    <col min="6149" max="6149" width="14.5703125" customWidth="1"/>
    <col min="6150" max="6151" width="13.7109375" customWidth="1"/>
    <col min="6152" max="6152" width="12" customWidth="1"/>
    <col min="6153" max="6153" width="14.85546875" customWidth="1"/>
    <col min="6154" max="6154" width="11.42578125" customWidth="1"/>
    <col min="6155" max="6155" width="13.5703125" customWidth="1"/>
    <col min="6156" max="6156" width="12.42578125" bestFit="1" customWidth="1"/>
    <col min="6157" max="6157" width="14.28515625" customWidth="1"/>
    <col min="6158" max="6158" width="15" customWidth="1"/>
    <col min="6159" max="6159" width="13.42578125" customWidth="1"/>
    <col min="6160" max="6160" width="16.140625" customWidth="1"/>
    <col min="6161" max="6161" width="25.42578125" customWidth="1"/>
    <col min="6162" max="6162" width="16" customWidth="1"/>
    <col min="6163" max="6163" width="20.28515625" customWidth="1"/>
    <col min="6164" max="6164" width="18" customWidth="1"/>
    <col min="6165" max="6165" width="17.7109375" customWidth="1"/>
    <col min="6401" max="6401" width="13.7109375" customWidth="1"/>
    <col min="6402" max="6402" width="29.140625" customWidth="1"/>
    <col min="6403" max="6403" width="15.5703125" customWidth="1"/>
    <col min="6404" max="6404" width="12.28515625" customWidth="1"/>
    <col min="6405" max="6405" width="14.5703125" customWidth="1"/>
    <col min="6406" max="6407" width="13.7109375" customWidth="1"/>
    <col min="6408" max="6408" width="12" customWidth="1"/>
    <col min="6409" max="6409" width="14.85546875" customWidth="1"/>
    <col min="6410" max="6410" width="11.42578125" customWidth="1"/>
    <col min="6411" max="6411" width="13.5703125" customWidth="1"/>
    <col min="6412" max="6412" width="12.42578125" bestFit="1" customWidth="1"/>
    <col min="6413" max="6413" width="14.28515625" customWidth="1"/>
    <col min="6414" max="6414" width="15" customWidth="1"/>
    <col min="6415" max="6415" width="13.42578125" customWidth="1"/>
    <col min="6416" max="6416" width="16.140625" customWidth="1"/>
    <col min="6417" max="6417" width="25.42578125" customWidth="1"/>
    <col min="6418" max="6418" width="16" customWidth="1"/>
    <col min="6419" max="6419" width="20.28515625" customWidth="1"/>
    <col min="6420" max="6420" width="18" customWidth="1"/>
    <col min="6421" max="6421" width="17.7109375" customWidth="1"/>
    <col min="6657" max="6657" width="13.7109375" customWidth="1"/>
    <col min="6658" max="6658" width="29.140625" customWidth="1"/>
    <col min="6659" max="6659" width="15.5703125" customWidth="1"/>
    <col min="6660" max="6660" width="12.28515625" customWidth="1"/>
    <col min="6661" max="6661" width="14.5703125" customWidth="1"/>
    <col min="6662" max="6663" width="13.7109375" customWidth="1"/>
    <col min="6664" max="6664" width="12" customWidth="1"/>
    <col min="6665" max="6665" width="14.85546875" customWidth="1"/>
    <col min="6666" max="6666" width="11.42578125" customWidth="1"/>
    <col min="6667" max="6667" width="13.5703125" customWidth="1"/>
    <col min="6668" max="6668" width="12.42578125" bestFit="1" customWidth="1"/>
    <col min="6669" max="6669" width="14.28515625" customWidth="1"/>
    <col min="6670" max="6670" width="15" customWidth="1"/>
    <col min="6671" max="6671" width="13.42578125" customWidth="1"/>
    <col min="6672" max="6672" width="16.140625" customWidth="1"/>
    <col min="6673" max="6673" width="25.42578125" customWidth="1"/>
    <col min="6674" max="6674" width="16" customWidth="1"/>
    <col min="6675" max="6675" width="20.28515625" customWidth="1"/>
    <col min="6676" max="6676" width="18" customWidth="1"/>
    <col min="6677" max="6677" width="17.7109375" customWidth="1"/>
    <col min="6913" max="6913" width="13.7109375" customWidth="1"/>
    <col min="6914" max="6914" width="29.140625" customWidth="1"/>
    <col min="6915" max="6915" width="15.5703125" customWidth="1"/>
    <col min="6916" max="6916" width="12.28515625" customWidth="1"/>
    <col min="6917" max="6917" width="14.5703125" customWidth="1"/>
    <col min="6918" max="6919" width="13.7109375" customWidth="1"/>
    <col min="6920" max="6920" width="12" customWidth="1"/>
    <col min="6921" max="6921" width="14.85546875" customWidth="1"/>
    <col min="6922" max="6922" width="11.42578125" customWidth="1"/>
    <col min="6923" max="6923" width="13.5703125" customWidth="1"/>
    <col min="6924" max="6924" width="12.42578125" bestFit="1" customWidth="1"/>
    <col min="6925" max="6925" width="14.28515625" customWidth="1"/>
    <col min="6926" max="6926" width="15" customWidth="1"/>
    <col min="6927" max="6927" width="13.42578125" customWidth="1"/>
    <col min="6928" max="6928" width="16.140625" customWidth="1"/>
    <col min="6929" max="6929" width="25.42578125" customWidth="1"/>
    <col min="6930" max="6930" width="16" customWidth="1"/>
    <col min="6931" max="6931" width="20.28515625" customWidth="1"/>
    <col min="6932" max="6932" width="18" customWidth="1"/>
    <col min="6933" max="6933" width="17.7109375" customWidth="1"/>
    <col min="7169" max="7169" width="13.7109375" customWidth="1"/>
    <col min="7170" max="7170" width="29.140625" customWidth="1"/>
    <col min="7171" max="7171" width="15.5703125" customWidth="1"/>
    <col min="7172" max="7172" width="12.28515625" customWidth="1"/>
    <col min="7173" max="7173" width="14.5703125" customWidth="1"/>
    <col min="7174" max="7175" width="13.7109375" customWidth="1"/>
    <col min="7176" max="7176" width="12" customWidth="1"/>
    <col min="7177" max="7177" width="14.85546875" customWidth="1"/>
    <col min="7178" max="7178" width="11.42578125" customWidth="1"/>
    <col min="7179" max="7179" width="13.5703125" customWidth="1"/>
    <col min="7180" max="7180" width="12.42578125" bestFit="1" customWidth="1"/>
    <col min="7181" max="7181" width="14.28515625" customWidth="1"/>
    <col min="7182" max="7182" width="15" customWidth="1"/>
    <col min="7183" max="7183" width="13.42578125" customWidth="1"/>
    <col min="7184" max="7184" width="16.140625" customWidth="1"/>
    <col min="7185" max="7185" width="25.42578125" customWidth="1"/>
    <col min="7186" max="7186" width="16" customWidth="1"/>
    <col min="7187" max="7187" width="20.28515625" customWidth="1"/>
    <col min="7188" max="7188" width="18" customWidth="1"/>
    <col min="7189" max="7189" width="17.7109375" customWidth="1"/>
    <col min="7425" max="7425" width="13.7109375" customWidth="1"/>
    <col min="7426" max="7426" width="29.140625" customWidth="1"/>
    <col min="7427" max="7427" width="15.5703125" customWidth="1"/>
    <col min="7428" max="7428" width="12.28515625" customWidth="1"/>
    <col min="7429" max="7429" width="14.5703125" customWidth="1"/>
    <col min="7430" max="7431" width="13.7109375" customWidth="1"/>
    <col min="7432" max="7432" width="12" customWidth="1"/>
    <col min="7433" max="7433" width="14.85546875" customWidth="1"/>
    <col min="7434" max="7434" width="11.42578125" customWidth="1"/>
    <col min="7435" max="7435" width="13.5703125" customWidth="1"/>
    <col min="7436" max="7436" width="12.42578125" bestFit="1" customWidth="1"/>
    <col min="7437" max="7437" width="14.28515625" customWidth="1"/>
    <col min="7438" max="7438" width="15" customWidth="1"/>
    <col min="7439" max="7439" width="13.42578125" customWidth="1"/>
    <col min="7440" max="7440" width="16.140625" customWidth="1"/>
    <col min="7441" max="7441" width="25.42578125" customWidth="1"/>
    <col min="7442" max="7442" width="16" customWidth="1"/>
    <col min="7443" max="7443" width="20.28515625" customWidth="1"/>
    <col min="7444" max="7444" width="18" customWidth="1"/>
    <col min="7445" max="7445" width="17.7109375" customWidth="1"/>
    <col min="7681" max="7681" width="13.7109375" customWidth="1"/>
    <col min="7682" max="7682" width="29.140625" customWidth="1"/>
    <col min="7683" max="7683" width="15.5703125" customWidth="1"/>
    <col min="7684" max="7684" width="12.28515625" customWidth="1"/>
    <col min="7685" max="7685" width="14.5703125" customWidth="1"/>
    <col min="7686" max="7687" width="13.7109375" customWidth="1"/>
    <col min="7688" max="7688" width="12" customWidth="1"/>
    <col min="7689" max="7689" width="14.85546875" customWidth="1"/>
    <col min="7690" max="7690" width="11.42578125" customWidth="1"/>
    <col min="7691" max="7691" width="13.5703125" customWidth="1"/>
    <col min="7692" max="7692" width="12.42578125" bestFit="1" customWidth="1"/>
    <col min="7693" max="7693" width="14.28515625" customWidth="1"/>
    <col min="7694" max="7694" width="15" customWidth="1"/>
    <col min="7695" max="7695" width="13.42578125" customWidth="1"/>
    <col min="7696" max="7696" width="16.140625" customWidth="1"/>
    <col min="7697" max="7697" width="25.42578125" customWidth="1"/>
    <col min="7698" max="7698" width="16" customWidth="1"/>
    <col min="7699" max="7699" width="20.28515625" customWidth="1"/>
    <col min="7700" max="7700" width="18" customWidth="1"/>
    <col min="7701" max="7701" width="17.7109375" customWidth="1"/>
    <col min="7937" max="7937" width="13.7109375" customWidth="1"/>
    <col min="7938" max="7938" width="29.140625" customWidth="1"/>
    <col min="7939" max="7939" width="15.5703125" customWidth="1"/>
    <col min="7940" max="7940" width="12.28515625" customWidth="1"/>
    <col min="7941" max="7941" width="14.5703125" customWidth="1"/>
    <col min="7942" max="7943" width="13.7109375" customWidth="1"/>
    <col min="7944" max="7944" width="12" customWidth="1"/>
    <col min="7945" max="7945" width="14.85546875" customWidth="1"/>
    <col min="7946" max="7946" width="11.42578125" customWidth="1"/>
    <col min="7947" max="7947" width="13.5703125" customWidth="1"/>
    <col min="7948" max="7948" width="12.42578125" bestFit="1" customWidth="1"/>
    <col min="7949" max="7949" width="14.28515625" customWidth="1"/>
    <col min="7950" max="7950" width="15" customWidth="1"/>
    <col min="7951" max="7951" width="13.42578125" customWidth="1"/>
    <col min="7952" max="7952" width="16.140625" customWidth="1"/>
    <col min="7953" max="7953" width="25.42578125" customWidth="1"/>
    <col min="7954" max="7954" width="16" customWidth="1"/>
    <col min="7955" max="7955" width="20.28515625" customWidth="1"/>
    <col min="7956" max="7956" width="18" customWidth="1"/>
    <col min="7957" max="7957" width="17.7109375" customWidth="1"/>
    <col min="8193" max="8193" width="13.7109375" customWidth="1"/>
    <col min="8194" max="8194" width="29.140625" customWidth="1"/>
    <col min="8195" max="8195" width="15.5703125" customWidth="1"/>
    <col min="8196" max="8196" width="12.28515625" customWidth="1"/>
    <col min="8197" max="8197" width="14.5703125" customWidth="1"/>
    <col min="8198" max="8199" width="13.7109375" customWidth="1"/>
    <col min="8200" max="8200" width="12" customWidth="1"/>
    <col min="8201" max="8201" width="14.85546875" customWidth="1"/>
    <col min="8202" max="8202" width="11.42578125" customWidth="1"/>
    <col min="8203" max="8203" width="13.5703125" customWidth="1"/>
    <col min="8204" max="8204" width="12.42578125" bestFit="1" customWidth="1"/>
    <col min="8205" max="8205" width="14.28515625" customWidth="1"/>
    <col min="8206" max="8206" width="15" customWidth="1"/>
    <col min="8207" max="8207" width="13.42578125" customWidth="1"/>
    <col min="8208" max="8208" width="16.140625" customWidth="1"/>
    <col min="8209" max="8209" width="25.42578125" customWidth="1"/>
    <col min="8210" max="8210" width="16" customWidth="1"/>
    <col min="8211" max="8211" width="20.28515625" customWidth="1"/>
    <col min="8212" max="8212" width="18" customWidth="1"/>
    <col min="8213" max="8213" width="17.7109375" customWidth="1"/>
    <col min="8449" max="8449" width="13.7109375" customWidth="1"/>
    <col min="8450" max="8450" width="29.140625" customWidth="1"/>
    <col min="8451" max="8451" width="15.5703125" customWidth="1"/>
    <col min="8452" max="8452" width="12.28515625" customWidth="1"/>
    <col min="8453" max="8453" width="14.5703125" customWidth="1"/>
    <col min="8454" max="8455" width="13.7109375" customWidth="1"/>
    <col min="8456" max="8456" width="12" customWidth="1"/>
    <col min="8457" max="8457" width="14.85546875" customWidth="1"/>
    <col min="8458" max="8458" width="11.42578125" customWidth="1"/>
    <col min="8459" max="8459" width="13.5703125" customWidth="1"/>
    <col min="8460" max="8460" width="12.42578125" bestFit="1" customWidth="1"/>
    <col min="8461" max="8461" width="14.28515625" customWidth="1"/>
    <col min="8462" max="8462" width="15" customWidth="1"/>
    <col min="8463" max="8463" width="13.42578125" customWidth="1"/>
    <col min="8464" max="8464" width="16.140625" customWidth="1"/>
    <col min="8465" max="8465" width="25.42578125" customWidth="1"/>
    <col min="8466" max="8466" width="16" customWidth="1"/>
    <col min="8467" max="8467" width="20.28515625" customWidth="1"/>
    <col min="8468" max="8468" width="18" customWidth="1"/>
    <col min="8469" max="8469" width="17.7109375" customWidth="1"/>
    <col min="8705" max="8705" width="13.7109375" customWidth="1"/>
    <col min="8706" max="8706" width="29.140625" customWidth="1"/>
    <col min="8707" max="8707" width="15.5703125" customWidth="1"/>
    <col min="8708" max="8708" width="12.28515625" customWidth="1"/>
    <col min="8709" max="8709" width="14.5703125" customWidth="1"/>
    <col min="8710" max="8711" width="13.7109375" customWidth="1"/>
    <col min="8712" max="8712" width="12" customWidth="1"/>
    <col min="8713" max="8713" width="14.85546875" customWidth="1"/>
    <col min="8714" max="8714" width="11.42578125" customWidth="1"/>
    <col min="8715" max="8715" width="13.5703125" customWidth="1"/>
    <col min="8716" max="8716" width="12.42578125" bestFit="1" customWidth="1"/>
    <col min="8717" max="8717" width="14.28515625" customWidth="1"/>
    <col min="8718" max="8718" width="15" customWidth="1"/>
    <col min="8719" max="8719" width="13.42578125" customWidth="1"/>
    <col min="8720" max="8720" width="16.140625" customWidth="1"/>
    <col min="8721" max="8721" width="25.42578125" customWidth="1"/>
    <col min="8722" max="8722" width="16" customWidth="1"/>
    <col min="8723" max="8723" width="20.28515625" customWidth="1"/>
    <col min="8724" max="8724" width="18" customWidth="1"/>
    <col min="8725" max="8725" width="17.7109375" customWidth="1"/>
    <col min="8961" max="8961" width="13.7109375" customWidth="1"/>
    <col min="8962" max="8962" width="29.140625" customWidth="1"/>
    <col min="8963" max="8963" width="15.5703125" customWidth="1"/>
    <col min="8964" max="8964" width="12.28515625" customWidth="1"/>
    <col min="8965" max="8965" width="14.5703125" customWidth="1"/>
    <col min="8966" max="8967" width="13.7109375" customWidth="1"/>
    <col min="8968" max="8968" width="12" customWidth="1"/>
    <col min="8969" max="8969" width="14.85546875" customWidth="1"/>
    <col min="8970" max="8970" width="11.42578125" customWidth="1"/>
    <col min="8971" max="8971" width="13.5703125" customWidth="1"/>
    <col min="8972" max="8972" width="12.42578125" bestFit="1" customWidth="1"/>
    <col min="8973" max="8973" width="14.28515625" customWidth="1"/>
    <col min="8974" max="8974" width="15" customWidth="1"/>
    <col min="8975" max="8975" width="13.42578125" customWidth="1"/>
    <col min="8976" max="8976" width="16.140625" customWidth="1"/>
    <col min="8977" max="8977" width="25.42578125" customWidth="1"/>
    <col min="8978" max="8978" width="16" customWidth="1"/>
    <col min="8979" max="8979" width="20.28515625" customWidth="1"/>
    <col min="8980" max="8980" width="18" customWidth="1"/>
    <col min="8981" max="8981" width="17.7109375" customWidth="1"/>
    <col min="9217" max="9217" width="13.7109375" customWidth="1"/>
    <col min="9218" max="9218" width="29.140625" customWidth="1"/>
    <col min="9219" max="9219" width="15.5703125" customWidth="1"/>
    <col min="9220" max="9220" width="12.28515625" customWidth="1"/>
    <col min="9221" max="9221" width="14.5703125" customWidth="1"/>
    <col min="9222" max="9223" width="13.7109375" customWidth="1"/>
    <col min="9224" max="9224" width="12" customWidth="1"/>
    <col min="9225" max="9225" width="14.85546875" customWidth="1"/>
    <col min="9226" max="9226" width="11.42578125" customWidth="1"/>
    <col min="9227" max="9227" width="13.5703125" customWidth="1"/>
    <col min="9228" max="9228" width="12.42578125" bestFit="1" customWidth="1"/>
    <col min="9229" max="9229" width="14.28515625" customWidth="1"/>
    <col min="9230" max="9230" width="15" customWidth="1"/>
    <col min="9231" max="9231" width="13.42578125" customWidth="1"/>
    <col min="9232" max="9232" width="16.140625" customWidth="1"/>
    <col min="9233" max="9233" width="25.42578125" customWidth="1"/>
    <col min="9234" max="9234" width="16" customWidth="1"/>
    <col min="9235" max="9235" width="20.28515625" customWidth="1"/>
    <col min="9236" max="9236" width="18" customWidth="1"/>
    <col min="9237" max="9237" width="17.7109375" customWidth="1"/>
    <col min="9473" max="9473" width="13.7109375" customWidth="1"/>
    <col min="9474" max="9474" width="29.140625" customWidth="1"/>
    <col min="9475" max="9475" width="15.5703125" customWidth="1"/>
    <col min="9476" max="9476" width="12.28515625" customWidth="1"/>
    <col min="9477" max="9477" width="14.5703125" customWidth="1"/>
    <col min="9478" max="9479" width="13.7109375" customWidth="1"/>
    <col min="9480" max="9480" width="12" customWidth="1"/>
    <col min="9481" max="9481" width="14.85546875" customWidth="1"/>
    <col min="9482" max="9482" width="11.42578125" customWidth="1"/>
    <col min="9483" max="9483" width="13.5703125" customWidth="1"/>
    <col min="9484" max="9484" width="12.42578125" bestFit="1" customWidth="1"/>
    <col min="9485" max="9485" width="14.28515625" customWidth="1"/>
    <col min="9486" max="9486" width="15" customWidth="1"/>
    <col min="9487" max="9487" width="13.42578125" customWidth="1"/>
    <col min="9488" max="9488" width="16.140625" customWidth="1"/>
    <col min="9489" max="9489" width="25.42578125" customWidth="1"/>
    <col min="9490" max="9490" width="16" customWidth="1"/>
    <col min="9491" max="9491" width="20.28515625" customWidth="1"/>
    <col min="9492" max="9492" width="18" customWidth="1"/>
    <col min="9493" max="9493" width="17.7109375" customWidth="1"/>
    <col min="9729" max="9729" width="13.7109375" customWidth="1"/>
    <col min="9730" max="9730" width="29.140625" customWidth="1"/>
    <col min="9731" max="9731" width="15.5703125" customWidth="1"/>
    <col min="9732" max="9732" width="12.28515625" customWidth="1"/>
    <col min="9733" max="9733" width="14.5703125" customWidth="1"/>
    <col min="9734" max="9735" width="13.7109375" customWidth="1"/>
    <col min="9736" max="9736" width="12" customWidth="1"/>
    <col min="9737" max="9737" width="14.85546875" customWidth="1"/>
    <col min="9738" max="9738" width="11.42578125" customWidth="1"/>
    <col min="9739" max="9739" width="13.5703125" customWidth="1"/>
    <col min="9740" max="9740" width="12.42578125" bestFit="1" customWidth="1"/>
    <col min="9741" max="9741" width="14.28515625" customWidth="1"/>
    <col min="9742" max="9742" width="15" customWidth="1"/>
    <col min="9743" max="9743" width="13.42578125" customWidth="1"/>
    <col min="9744" max="9744" width="16.140625" customWidth="1"/>
    <col min="9745" max="9745" width="25.42578125" customWidth="1"/>
    <col min="9746" max="9746" width="16" customWidth="1"/>
    <col min="9747" max="9747" width="20.28515625" customWidth="1"/>
    <col min="9748" max="9748" width="18" customWidth="1"/>
    <col min="9749" max="9749" width="17.7109375" customWidth="1"/>
    <col min="9985" max="9985" width="13.7109375" customWidth="1"/>
    <col min="9986" max="9986" width="29.140625" customWidth="1"/>
    <col min="9987" max="9987" width="15.5703125" customWidth="1"/>
    <col min="9988" max="9988" width="12.28515625" customWidth="1"/>
    <col min="9989" max="9989" width="14.5703125" customWidth="1"/>
    <col min="9990" max="9991" width="13.7109375" customWidth="1"/>
    <col min="9992" max="9992" width="12" customWidth="1"/>
    <col min="9993" max="9993" width="14.85546875" customWidth="1"/>
    <col min="9994" max="9994" width="11.42578125" customWidth="1"/>
    <col min="9995" max="9995" width="13.5703125" customWidth="1"/>
    <col min="9996" max="9996" width="12.42578125" bestFit="1" customWidth="1"/>
    <col min="9997" max="9997" width="14.28515625" customWidth="1"/>
    <col min="9998" max="9998" width="15" customWidth="1"/>
    <col min="9999" max="9999" width="13.42578125" customWidth="1"/>
    <col min="10000" max="10000" width="16.140625" customWidth="1"/>
    <col min="10001" max="10001" width="25.42578125" customWidth="1"/>
    <col min="10002" max="10002" width="16" customWidth="1"/>
    <col min="10003" max="10003" width="20.28515625" customWidth="1"/>
    <col min="10004" max="10004" width="18" customWidth="1"/>
    <col min="10005" max="10005" width="17.7109375" customWidth="1"/>
    <col min="10241" max="10241" width="13.7109375" customWidth="1"/>
    <col min="10242" max="10242" width="29.140625" customWidth="1"/>
    <col min="10243" max="10243" width="15.5703125" customWidth="1"/>
    <col min="10244" max="10244" width="12.28515625" customWidth="1"/>
    <col min="10245" max="10245" width="14.5703125" customWidth="1"/>
    <col min="10246" max="10247" width="13.7109375" customWidth="1"/>
    <col min="10248" max="10248" width="12" customWidth="1"/>
    <col min="10249" max="10249" width="14.85546875" customWidth="1"/>
    <col min="10250" max="10250" width="11.42578125" customWidth="1"/>
    <col min="10251" max="10251" width="13.5703125" customWidth="1"/>
    <col min="10252" max="10252" width="12.42578125" bestFit="1" customWidth="1"/>
    <col min="10253" max="10253" width="14.28515625" customWidth="1"/>
    <col min="10254" max="10254" width="15" customWidth="1"/>
    <col min="10255" max="10255" width="13.42578125" customWidth="1"/>
    <col min="10256" max="10256" width="16.140625" customWidth="1"/>
    <col min="10257" max="10257" width="25.42578125" customWidth="1"/>
    <col min="10258" max="10258" width="16" customWidth="1"/>
    <col min="10259" max="10259" width="20.28515625" customWidth="1"/>
    <col min="10260" max="10260" width="18" customWidth="1"/>
    <col min="10261" max="10261" width="17.7109375" customWidth="1"/>
    <col min="10497" max="10497" width="13.7109375" customWidth="1"/>
    <col min="10498" max="10498" width="29.140625" customWidth="1"/>
    <col min="10499" max="10499" width="15.5703125" customWidth="1"/>
    <col min="10500" max="10500" width="12.28515625" customWidth="1"/>
    <col min="10501" max="10501" width="14.5703125" customWidth="1"/>
    <col min="10502" max="10503" width="13.7109375" customWidth="1"/>
    <col min="10504" max="10504" width="12" customWidth="1"/>
    <col min="10505" max="10505" width="14.85546875" customWidth="1"/>
    <col min="10506" max="10506" width="11.42578125" customWidth="1"/>
    <col min="10507" max="10507" width="13.5703125" customWidth="1"/>
    <col min="10508" max="10508" width="12.42578125" bestFit="1" customWidth="1"/>
    <col min="10509" max="10509" width="14.28515625" customWidth="1"/>
    <col min="10510" max="10510" width="15" customWidth="1"/>
    <col min="10511" max="10511" width="13.42578125" customWidth="1"/>
    <col min="10512" max="10512" width="16.140625" customWidth="1"/>
    <col min="10513" max="10513" width="25.42578125" customWidth="1"/>
    <col min="10514" max="10514" width="16" customWidth="1"/>
    <col min="10515" max="10515" width="20.28515625" customWidth="1"/>
    <col min="10516" max="10516" width="18" customWidth="1"/>
    <col min="10517" max="10517" width="17.7109375" customWidth="1"/>
    <col min="10753" max="10753" width="13.7109375" customWidth="1"/>
    <col min="10754" max="10754" width="29.140625" customWidth="1"/>
    <col min="10755" max="10755" width="15.5703125" customWidth="1"/>
    <col min="10756" max="10756" width="12.28515625" customWidth="1"/>
    <col min="10757" max="10757" width="14.5703125" customWidth="1"/>
    <col min="10758" max="10759" width="13.7109375" customWidth="1"/>
    <col min="10760" max="10760" width="12" customWidth="1"/>
    <col min="10761" max="10761" width="14.85546875" customWidth="1"/>
    <col min="10762" max="10762" width="11.42578125" customWidth="1"/>
    <col min="10763" max="10763" width="13.5703125" customWidth="1"/>
    <col min="10764" max="10764" width="12.42578125" bestFit="1" customWidth="1"/>
    <col min="10765" max="10765" width="14.28515625" customWidth="1"/>
    <col min="10766" max="10766" width="15" customWidth="1"/>
    <col min="10767" max="10767" width="13.42578125" customWidth="1"/>
    <col min="10768" max="10768" width="16.140625" customWidth="1"/>
    <col min="10769" max="10769" width="25.42578125" customWidth="1"/>
    <col min="10770" max="10770" width="16" customWidth="1"/>
    <col min="10771" max="10771" width="20.28515625" customWidth="1"/>
    <col min="10772" max="10772" width="18" customWidth="1"/>
    <col min="10773" max="10773" width="17.7109375" customWidth="1"/>
    <col min="11009" max="11009" width="13.7109375" customWidth="1"/>
    <col min="11010" max="11010" width="29.140625" customWidth="1"/>
    <col min="11011" max="11011" width="15.5703125" customWidth="1"/>
    <col min="11012" max="11012" width="12.28515625" customWidth="1"/>
    <col min="11013" max="11013" width="14.5703125" customWidth="1"/>
    <col min="11014" max="11015" width="13.7109375" customWidth="1"/>
    <col min="11016" max="11016" width="12" customWidth="1"/>
    <col min="11017" max="11017" width="14.85546875" customWidth="1"/>
    <col min="11018" max="11018" width="11.42578125" customWidth="1"/>
    <col min="11019" max="11019" width="13.5703125" customWidth="1"/>
    <col min="11020" max="11020" width="12.42578125" bestFit="1" customWidth="1"/>
    <col min="11021" max="11021" width="14.28515625" customWidth="1"/>
    <col min="11022" max="11022" width="15" customWidth="1"/>
    <col min="11023" max="11023" width="13.42578125" customWidth="1"/>
    <col min="11024" max="11024" width="16.140625" customWidth="1"/>
    <col min="11025" max="11025" width="25.42578125" customWidth="1"/>
    <col min="11026" max="11026" width="16" customWidth="1"/>
    <col min="11027" max="11027" width="20.28515625" customWidth="1"/>
    <col min="11028" max="11028" width="18" customWidth="1"/>
    <col min="11029" max="11029" width="17.7109375" customWidth="1"/>
    <col min="11265" max="11265" width="13.7109375" customWidth="1"/>
    <col min="11266" max="11266" width="29.140625" customWidth="1"/>
    <col min="11267" max="11267" width="15.5703125" customWidth="1"/>
    <col min="11268" max="11268" width="12.28515625" customWidth="1"/>
    <col min="11269" max="11269" width="14.5703125" customWidth="1"/>
    <col min="11270" max="11271" width="13.7109375" customWidth="1"/>
    <col min="11272" max="11272" width="12" customWidth="1"/>
    <col min="11273" max="11273" width="14.85546875" customWidth="1"/>
    <col min="11274" max="11274" width="11.42578125" customWidth="1"/>
    <col min="11275" max="11275" width="13.5703125" customWidth="1"/>
    <col min="11276" max="11276" width="12.42578125" bestFit="1" customWidth="1"/>
    <col min="11277" max="11277" width="14.28515625" customWidth="1"/>
    <col min="11278" max="11278" width="15" customWidth="1"/>
    <col min="11279" max="11279" width="13.42578125" customWidth="1"/>
    <col min="11280" max="11280" width="16.140625" customWidth="1"/>
    <col min="11281" max="11281" width="25.42578125" customWidth="1"/>
    <col min="11282" max="11282" width="16" customWidth="1"/>
    <col min="11283" max="11283" width="20.28515625" customWidth="1"/>
    <col min="11284" max="11284" width="18" customWidth="1"/>
    <col min="11285" max="11285" width="17.7109375" customWidth="1"/>
    <col min="11521" max="11521" width="13.7109375" customWidth="1"/>
    <col min="11522" max="11522" width="29.140625" customWidth="1"/>
    <col min="11523" max="11523" width="15.5703125" customWidth="1"/>
    <col min="11524" max="11524" width="12.28515625" customWidth="1"/>
    <col min="11525" max="11525" width="14.5703125" customWidth="1"/>
    <col min="11526" max="11527" width="13.7109375" customWidth="1"/>
    <col min="11528" max="11528" width="12" customWidth="1"/>
    <col min="11529" max="11529" width="14.85546875" customWidth="1"/>
    <col min="11530" max="11530" width="11.42578125" customWidth="1"/>
    <col min="11531" max="11531" width="13.5703125" customWidth="1"/>
    <col min="11532" max="11532" width="12.42578125" bestFit="1" customWidth="1"/>
    <col min="11533" max="11533" width="14.28515625" customWidth="1"/>
    <col min="11534" max="11534" width="15" customWidth="1"/>
    <col min="11535" max="11535" width="13.42578125" customWidth="1"/>
    <col min="11536" max="11536" width="16.140625" customWidth="1"/>
    <col min="11537" max="11537" width="25.42578125" customWidth="1"/>
    <col min="11538" max="11538" width="16" customWidth="1"/>
    <col min="11539" max="11539" width="20.28515625" customWidth="1"/>
    <col min="11540" max="11540" width="18" customWidth="1"/>
    <col min="11541" max="11541" width="17.7109375" customWidth="1"/>
    <col min="11777" max="11777" width="13.7109375" customWidth="1"/>
    <col min="11778" max="11778" width="29.140625" customWidth="1"/>
    <col min="11779" max="11779" width="15.5703125" customWidth="1"/>
    <col min="11780" max="11780" width="12.28515625" customWidth="1"/>
    <col min="11781" max="11781" width="14.5703125" customWidth="1"/>
    <col min="11782" max="11783" width="13.7109375" customWidth="1"/>
    <col min="11784" max="11784" width="12" customWidth="1"/>
    <col min="11785" max="11785" width="14.85546875" customWidth="1"/>
    <col min="11786" max="11786" width="11.42578125" customWidth="1"/>
    <col min="11787" max="11787" width="13.5703125" customWidth="1"/>
    <col min="11788" max="11788" width="12.42578125" bestFit="1" customWidth="1"/>
    <col min="11789" max="11789" width="14.28515625" customWidth="1"/>
    <col min="11790" max="11790" width="15" customWidth="1"/>
    <col min="11791" max="11791" width="13.42578125" customWidth="1"/>
    <col min="11792" max="11792" width="16.140625" customWidth="1"/>
    <col min="11793" max="11793" width="25.42578125" customWidth="1"/>
    <col min="11794" max="11794" width="16" customWidth="1"/>
    <col min="11795" max="11795" width="20.28515625" customWidth="1"/>
    <col min="11796" max="11796" width="18" customWidth="1"/>
    <col min="11797" max="11797" width="17.7109375" customWidth="1"/>
    <col min="12033" max="12033" width="13.7109375" customWidth="1"/>
    <col min="12034" max="12034" width="29.140625" customWidth="1"/>
    <col min="12035" max="12035" width="15.5703125" customWidth="1"/>
    <col min="12036" max="12036" width="12.28515625" customWidth="1"/>
    <col min="12037" max="12037" width="14.5703125" customWidth="1"/>
    <col min="12038" max="12039" width="13.7109375" customWidth="1"/>
    <col min="12040" max="12040" width="12" customWidth="1"/>
    <col min="12041" max="12041" width="14.85546875" customWidth="1"/>
    <col min="12042" max="12042" width="11.42578125" customWidth="1"/>
    <col min="12043" max="12043" width="13.5703125" customWidth="1"/>
    <col min="12044" max="12044" width="12.42578125" bestFit="1" customWidth="1"/>
    <col min="12045" max="12045" width="14.28515625" customWidth="1"/>
    <col min="12046" max="12046" width="15" customWidth="1"/>
    <col min="12047" max="12047" width="13.42578125" customWidth="1"/>
    <col min="12048" max="12048" width="16.140625" customWidth="1"/>
    <col min="12049" max="12049" width="25.42578125" customWidth="1"/>
    <col min="12050" max="12050" width="16" customWidth="1"/>
    <col min="12051" max="12051" width="20.28515625" customWidth="1"/>
    <col min="12052" max="12052" width="18" customWidth="1"/>
    <col min="12053" max="12053" width="17.7109375" customWidth="1"/>
    <col min="12289" max="12289" width="13.7109375" customWidth="1"/>
    <col min="12290" max="12290" width="29.140625" customWidth="1"/>
    <col min="12291" max="12291" width="15.5703125" customWidth="1"/>
    <col min="12292" max="12292" width="12.28515625" customWidth="1"/>
    <col min="12293" max="12293" width="14.5703125" customWidth="1"/>
    <col min="12294" max="12295" width="13.7109375" customWidth="1"/>
    <col min="12296" max="12296" width="12" customWidth="1"/>
    <col min="12297" max="12297" width="14.85546875" customWidth="1"/>
    <col min="12298" max="12298" width="11.42578125" customWidth="1"/>
    <col min="12299" max="12299" width="13.5703125" customWidth="1"/>
    <col min="12300" max="12300" width="12.42578125" bestFit="1" customWidth="1"/>
    <col min="12301" max="12301" width="14.28515625" customWidth="1"/>
    <col min="12302" max="12302" width="15" customWidth="1"/>
    <col min="12303" max="12303" width="13.42578125" customWidth="1"/>
    <col min="12304" max="12304" width="16.140625" customWidth="1"/>
    <col min="12305" max="12305" width="25.42578125" customWidth="1"/>
    <col min="12306" max="12306" width="16" customWidth="1"/>
    <col min="12307" max="12307" width="20.28515625" customWidth="1"/>
    <col min="12308" max="12308" width="18" customWidth="1"/>
    <col min="12309" max="12309" width="17.7109375" customWidth="1"/>
    <col min="12545" max="12545" width="13.7109375" customWidth="1"/>
    <col min="12546" max="12546" width="29.140625" customWidth="1"/>
    <col min="12547" max="12547" width="15.5703125" customWidth="1"/>
    <col min="12548" max="12548" width="12.28515625" customWidth="1"/>
    <col min="12549" max="12549" width="14.5703125" customWidth="1"/>
    <col min="12550" max="12551" width="13.7109375" customWidth="1"/>
    <col min="12552" max="12552" width="12" customWidth="1"/>
    <col min="12553" max="12553" width="14.85546875" customWidth="1"/>
    <col min="12554" max="12554" width="11.42578125" customWidth="1"/>
    <col min="12555" max="12555" width="13.5703125" customWidth="1"/>
    <col min="12556" max="12556" width="12.42578125" bestFit="1" customWidth="1"/>
    <col min="12557" max="12557" width="14.28515625" customWidth="1"/>
    <col min="12558" max="12558" width="15" customWidth="1"/>
    <col min="12559" max="12559" width="13.42578125" customWidth="1"/>
    <col min="12560" max="12560" width="16.140625" customWidth="1"/>
    <col min="12561" max="12561" width="25.42578125" customWidth="1"/>
    <col min="12562" max="12562" width="16" customWidth="1"/>
    <col min="12563" max="12563" width="20.28515625" customWidth="1"/>
    <col min="12564" max="12564" width="18" customWidth="1"/>
    <col min="12565" max="12565" width="17.7109375" customWidth="1"/>
    <col min="12801" max="12801" width="13.7109375" customWidth="1"/>
    <col min="12802" max="12802" width="29.140625" customWidth="1"/>
    <col min="12803" max="12803" width="15.5703125" customWidth="1"/>
    <col min="12804" max="12804" width="12.28515625" customWidth="1"/>
    <col min="12805" max="12805" width="14.5703125" customWidth="1"/>
    <col min="12806" max="12807" width="13.7109375" customWidth="1"/>
    <col min="12808" max="12808" width="12" customWidth="1"/>
    <col min="12809" max="12809" width="14.85546875" customWidth="1"/>
    <col min="12810" max="12810" width="11.42578125" customWidth="1"/>
    <col min="12811" max="12811" width="13.5703125" customWidth="1"/>
    <col min="12812" max="12812" width="12.42578125" bestFit="1" customWidth="1"/>
    <col min="12813" max="12813" width="14.28515625" customWidth="1"/>
    <col min="12814" max="12814" width="15" customWidth="1"/>
    <col min="12815" max="12815" width="13.42578125" customWidth="1"/>
    <col min="12816" max="12816" width="16.140625" customWidth="1"/>
    <col min="12817" max="12817" width="25.42578125" customWidth="1"/>
    <col min="12818" max="12818" width="16" customWidth="1"/>
    <col min="12819" max="12819" width="20.28515625" customWidth="1"/>
    <col min="12820" max="12820" width="18" customWidth="1"/>
    <col min="12821" max="12821" width="17.7109375" customWidth="1"/>
    <col min="13057" max="13057" width="13.7109375" customWidth="1"/>
    <col min="13058" max="13058" width="29.140625" customWidth="1"/>
    <col min="13059" max="13059" width="15.5703125" customWidth="1"/>
    <col min="13060" max="13060" width="12.28515625" customWidth="1"/>
    <col min="13061" max="13061" width="14.5703125" customWidth="1"/>
    <col min="13062" max="13063" width="13.7109375" customWidth="1"/>
    <col min="13064" max="13064" width="12" customWidth="1"/>
    <col min="13065" max="13065" width="14.85546875" customWidth="1"/>
    <col min="13066" max="13066" width="11.42578125" customWidth="1"/>
    <col min="13067" max="13067" width="13.5703125" customWidth="1"/>
    <col min="13068" max="13068" width="12.42578125" bestFit="1" customWidth="1"/>
    <col min="13069" max="13069" width="14.28515625" customWidth="1"/>
    <col min="13070" max="13070" width="15" customWidth="1"/>
    <col min="13071" max="13071" width="13.42578125" customWidth="1"/>
    <col min="13072" max="13072" width="16.140625" customWidth="1"/>
    <col min="13073" max="13073" width="25.42578125" customWidth="1"/>
    <col min="13074" max="13074" width="16" customWidth="1"/>
    <col min="13075" max="13075" width="20.28515625" customWidth="1"/>
    <col min="13076" max="13076" width="18" customWidth="1"/>
    <col min="13077" max="13077" width="17.7109375" customWidth="1"/>
    <col min="13313" max="13313" width="13.7109375" customWidth="1"/>
    <col min="13314" max="13314" width="29.140625" customWidth="1"/>
    <col min="13315" max="13315" width="15.5703125" customWidth="1"/>
    <col min="13316" max="13316" width="12.28515625" customWidth="1"/>
    <col min="13317" max="13317" width="14.5703125" customWidth="1"/>
    <col min="13318" max="13319" width="13.7109375" customWidth="1"/>
    <col min="13320" max="13320" width="12" customWidth="1"/>
    <col min="13321" max="13321" width="14.85546875" customWidth="1"/>
    <col min="13322" max="13322" width="11.42578125" customWidth="1"/>
    <col min="13323" max="13323" width="13.5703125" customWidth="1"/>
    <col min="13324" max="13324" width="12.42578125" bestFit="1" customWidth="1"/>
    <col min="13325" max="13325" width="14.28515625" customWidth="1"/>
    <col min="13326" max="13326" width="15" customWidth="1"/>
    <col min="13327" max="13327" width="13.42578125" customWidth="1"/>
    <col min="13328" max="13328" width="16.140625" customWidth="1"/>
    <col min="13329" max="13329" width="25.42578125" customWidth="1"/>
    <col min="13330" max="13330" width="16" customWidth="1"/>
    <col min="13331" max="13331" width="20.28515625" customWidth="1"/>
    <col min="13332" max="13332" width="18" customWidth="1"/>
    <col min="13333" max="13333" width="17.7109375" customWidth="1"/>
    <col min="13569" max="13569" width="13.7109375" customWidth="1"/>
    <col min="13570" max="13570" width="29.140625" customWidth="1"/>
    <col min="13571" max="13571" width="15.5703125" customWidth="1"/>
    <col min="13572" max="13572" width="12.28515625" customWidth="1"/>
    <col min="13573" max="13573" width="14.5703125" customWidth="1"/>
    <col min="13574" max="13575" width="13.7109375" customWidth="1"/>
    <col min="13576" max="13576" width="12" customWidth="1"/>
    <col min="13577" max="13577" width="14.85546875" customWidth="1"/>
    <col min="13578" max="13578" width="11.42578125" customWidth="1"/>
    <col min="13579" max="13579" width="13.5703125" customWidth="1"/>
    <col min="13580" max="13580" width="12.42578125" bestFit="1" customWidth="1"/>
    <col min="13581" max="13581" width="14.28515625" customWidth="1"/>
    <col min="13582" max="13582" width="15" customWidth="1"/>
    <col min="13583" max="13583" width="13.42578125" customWidth="1"/>
    <col min="13584" max="13584" width="16.140625" customWidth="1"/>
    <col min="13585" max="13585" width="25.42578125" customWidth="1"/>
    <col min="13586" max="13586" width="16" customWidth="1"/>
    <col min="13587" max="13587" width="20.28515625" customWidth="1"/>
    <col min="13588" max="13588" width="18" customWidth="1"/>
    <col min="13589" max="13589" width="17.7109375" customWidth="1"/>
    <col min="13825" max="13825" width="13.7109375" customWidth="1"/>
    <col min="13826" max="13826" width="29.140625" customWidth="1"/>
    <col min="13827" max="13827" width="15.5703125" customWidth="1"/>
    <col min="13828" max="13828" width="12.28515625" customWidth="1"/>
    <col min="13829" max="13829" width="14.5703125" customWidth="1"/>
    <col min="13830" max="13831" width="13.7109375" customWidth="1"/>
    <col min="13832" max="13832" width="12" customWidth="1"/>
    <col min="13833" max="13833" width="14.85546875" customWidth="1"/>
    <col min="13834" max="13834" width="11.42578125" customWidth="1"/>
    <col min="13835" max="13835" width="13.5703125" customWidth="1"/>
    <col min="13836" max="13836" width="12.42578125" bestFit="1" customWidth="1"/>
    <col min="13837" max="13837" width="14.28515625" customWidth="1"/>
    <col min="13838" max="13838" width="15" customWidth="1"/>
    <col min="13839" max="13839" width="13.42578125" customWidth="1"/>
    <col min="13840" max="13840" width="16.140625" customWidth="1"/>
    <col min="13841" max="13841" width="25.42578125" customWidth="1"/>
    <col min="13842" max="13842" width="16" customWidth="1"/>
    <col min="13843" max="13843" width="20.28515625" customWidth="1"/>
    <col min="13844" max="13844" width="18" customWidth="1"/>
    <col min="13845" max="13845" width="17.7109375" customWidth="1"/>
    <col min="14081" max="14081" width="13.7109375" customWidth="1"/>
    <col min="14082" max="14082" width="29.140625" customWidth="1"/>
    <col min="14083" max="14083" width="15.5703125" customWidth="1"/>
    <col min="14084" max="14084" width="12.28515625" customWidth="1"/>
    <col min="14085" max="14085" width="14.5703125" customWidth="1"/>
    <col min="14086" max="14087" width="13.7109375" customWidth="1"/>
    <col min="14088" max="14088" width="12" customWidth="1"/>
    <col min="14089" max="14089" width="14.85546875" customWidth="1"/>
    <col min="14090" max="14090" width="11.42578125" customWidth="1"/>
    <col min="14091" max="14091" width="13.5703125" customWidth="1"/>
    <col min="14092" max="14092" width="12.42578125" bestFit="1" customWidth="1"/>
    <col min="14093" max="14093" width="14.28515625" customWidth="1"/>
    <col min="14094" max="14094" width="15" customWidth="1"/>
    <col min="14095" max="14095" width="13.42578125" customWidth="1"/>
    <col min="14096" max="14096" width="16.140625" customWidth="1"/>
    <col min="14097" max="14097" width="25.42578125" customWidth="1"/>
    <col min="14098" max="14098" width="16" customWidth="1"/>
    <col min="14099" max="14099" width="20.28515625" customWidth="1"/>
    <col min="14100" max="14100" width="18" customWidth="1"/>
    <col min="14101" max="14101" width="17.7109375" customWidth="1"/>
    <col min="14337" max="14337" width="13.7109375" customWidth="1"/>
    <col min="14338" max="14338" width="29.140625" customWidth="1"/>
    <col min="14339" max="14339" width="15.5703125" customWidth="1"/>
    <col min="14340" max="14340" width="12.28515625" customWidth="1"/>
    <col min="14341" max="14341" width="14.5703125" customWidth="1"/>
    <col min="14342" max="14343" width="13.7109375" customWidth="1"/>
    <col min="14344" max="14344" width="12" customWidth="1"/>
    <col min="14345" max="14345" width="14.85546875" customWidth="1"/>
    <col min="14346" max="14346" width="11.42578125" customWidth="1"/>
    <col min="14347" max="14347" width="13.5703125" customWidth="1"/>
    <col min="14348" max="14348" width="12.42578125" bestFit="1" customWidth="1"/>
    <col min="14349" max="14349" width="14.28515625" customWidth="1"/>
    <col min="14350" max="14350" width="15" customWidth="1"/>
    <col min="14351" max="14351" width="13.42578125" customWidth="1"/>
    <col min="14352" max="14352" width="16.140625" customWidth="1"/>
    <col min="14353" max="14353" width="25.42578125" customWidth="1"/>
    <col min="14354" max="14354" width="16" customWidth="1"/>
    <col min="14355" max="14355" width="20.28515625" customWidth="1"/>
    <col min="14356" max="14356" width="18" customWidth="1"/>
    <col min="14357" max="14357" width="17.7109375" customWidth="1"/>
    <col min="14593" max="14593" width="13.7109375" customWidth="1"/>
    <col min="14594" max="14594" width="29.140625" customWidth="1"/>
    <col min="14595" max="14595" width="15.5703125" customWidth="1"/>
    <col min="14596" max="14596" width="12.28515625" customWidth="1"/>
    <col min="14597" max="14597" width="14.5703125" customWidth="1"/>
    <col min="14598" max="14599" width="13.7109375" customWidth="1"/>
    <col min="14600" max="14600" width="12" customWidth="1"/>
    <col min="14601" max="14601" width="14.85546875" customWidth="1"/>
    <col min="14602" max="14602" width="11.42578125" customWidth="1"/>
    <col min="14603" max="14603" width="13.5703125" customWidth="1"/>
    <col min="14604" max="14604" width="12.42578125" bestFit="1" customWidth="1"/>
    <col min="14605" max="14605" width="14.28515625" customWidth="1"/>
    <col min="14606" max="14606" width="15" customWidth="1"/>
    <col min="14607" max="14607" width="13.42578125" customWidth="1"/>
    <col min="14608" max="14608" width="16.140625" customWidth="1"/>
    <col min="14609" max="14609" width="25.42578125" customWidth="1"/>
    <col min="14610" max="14610" width="16" customWidth="1"/>
    <col min="14611" max="14611" width="20.28515625" customWidth="1"/>
    <col min="14612" max="14612" width="18" customWidth="1"/>
    <col min="14613" max="14613" width="17.7109375" customWidth="1"/>
    <col min="14849" max="14849" width="13.7109375" customWidth="1"/>
    <col min="14850" max="14850" width="29.140625" customWidth="1"/>
    <col min="14851" max="14851" width="15.5703125" customWidth="1"/>
    <col min="14852" max="14852" width="12.28515625" customWidth="1"/>
    <col min="14853" max="14853" width="14.5703125" customWidth="1"/>
    <col min="14854" max="14855" width="13.7109375" customWidth="1"/>
    <col min="14856" max="14856" width="12" customWidth="1"/>
    <col min="14857" max="14857" width="14.85546875" customWidth="1"/>
    <col min="14858" max="14858" width="11.42578125" customWidth="1"/>
    <col min="14859" max="14859" width="13.5703125" customWidth="1"/>
    <col min="14860" max="14860" width="12.42578125" bestFit="1" customWidth="1"/>
    <col min="14861" max="14861" width="14.28515625" customWidth="1"/>
    <col min="14862" max="14862" width="15" customWidth="1"/>
    <col min="14863" max="14863" width="13.42578125" customWidth="1"/>
    <col min="14864" max="14864" width="16.140625" customWidth="1"/>
    <col min="14865" max="14865" width="25.42578125" customWidth="1"/>
    <col min="14866" max="14866" width="16" customWidth="1"/>
    <col min="14867" max="14867" width="20.28515625" customWidth="1"/>
    <col min="14868" max="14868" width="18" customWidth="1"/>
    <col min="14869" max="14869" width="17.7109375" customWidth="1"/>
    <col min="15105" max="15105" width="13.7109375" customWidth="1"/>
    <col min="15106" max="15106" width="29.140625" customWidth="1"/>
    <col min="15107" max="15107" width="15.5703125" customWidth="1"/>
    <col min="15108" max="15108" width="12.28515625" customWidth="1"/>
    <col min="15109" max="15109" width="14.5703125" customWidth="1"/>
    <col min="15110" max="15111" width="13.7109375" customWidth="1"/>
    <col min="15112" max="15112" width="12" customWidth="1"/>
    <col min="15113" max="15113" width="14.85546875" customWidth="1"/>
    <col min="15114" max="15114" width="11.42578125" customWidth="1"/>
    <col min="15115" max="15115" width="13.5703125" customWidth="1"/>
    <col min="15116" max="15116" width="12.42578125" bestFit="1" customWidth="1"/>
    <col min="15117" max="15117" width="14.28515625" customWidth="1"/>
    <col min="15118" max="15118" width="15" customWidth="1"/>
    <col min="15119" max="15119" width="13.42578125" customWidth="1"/>
    <col min="15120" max="15120" width="16.140625" customWidth="1"/>
    <col min="15121" max="15121" width="25.42578125" customWidth="1"/>
    <col min="15122" max="15122" width="16" customWidth="1"/>
    <col min="15123" max="15123" width="20.28515625" customWidth="1"/>
    <col min="15124" max="15124" width="18" customWidth="1"/>
    <col min="15125" max="15125" width="17.7109375" customWidth="1"/>
    <col min="15361" max="15361" width="13.7109375" customWidth="1"/>
    <col min="15362" max="15362" width="29.140625" customWidth="1"/>
    <col min="15363" max="15363" width="15.5703125" customWidth="1"/>
    <col min="15364" max="15364" width="12.28515625" customWidth="1"/>
    <col min="15365" max="15365" width="14.5703125" customWidth="1"/>
    <col min="15366" max="15367" width="13.7109375" customWidth="1"/>
    <col min="15368" max="15368" width="12" customWidth="1"/>
    <col min="15369" max="15369" width="14.85546875" customWidth="1"/>
    <col min="15370" max="15370" width="11.42578125" customWidth="1"/>
    <col min="15371" max="15371" width="13.5703125" customWidth="1"/>
    <col min="15372" max="15372" width="12.42578125" bestFit="1" customWidth="1"/>
    <col min="15373" max="15373" width="14.28515625" customWidth="1"/>
    <col min="15374" max="15374" width="15" customWidth="1"/>
    <col min="15375" max="15375" width="13.42578125" customWidth="1"/>
    <col min="15376" max="15376" width="16.140625" customWidth="1"/>
    <col min="15377" max="15377" width="25.42578125" customWidth="1"/>
    <col min="15378" max="15378" width="16" customWidth="1"/>
    <col min="15379" max="15379" width="20.28515625" customWidth="1"/>
    <col min="15380" max="15380" width="18" customWidth="1"/>
    <col min="15381" max="15381" width="17.7109375" customWidth="1"/>
    <col min="15617" max="15617" width="13.7109375" customWidth="1"/>
    <col min="15618" max="15618" width="29.140625" customWidth="1"/>
    <col min="15619" max="15619" width="15.5703125" customWidth="1"/>
    <col min="15620" max="15620" width="12.28515625" customWidth="1"/>
    <col min="15621" max="15621" width="14.5703125" customWidth="1"/>
    <col min="15622" max="15623" width="13.7109375" customWidth="1"/>
    <col min="15624" max="15624" width="12" customWidth="1"/>
    <col min="15625" max="15625" width="14.85546875" customWidth="1"/>
    <col min="15626" max="15626" width="11.42578125" customWidth="1"/>
    <col min="15627" max="15627" width="13.5703125" customWidth="1"/>
    <col min="15628" max="15628" width="12.42578125" bestFit="1" customWidth="1"/>
    <col min="15629" max="15629" width="14.28515625" customWidth="1"/>
    <col min="15630" max="15630" width="15" customWidth="1"/>
    <col min="15631" max="15631" width="13.42578125" customWidth="1"/>
    <col min="15632" max="15632" width="16.140625" customWidth="1"/>
    <col min="15633" max="15633" width="25.42578125" customWidth="1"/>
    <col min="15634" max="15634" width="16" customWidth="1"/>
    <col min="15635" max="15635" width="20.28515625" customWidth="1"/>
    <col min="15636" max="15636" width="18" customWidth="1"/>
    <col min="15637" max="15637" width="17.7109375" customWidth="1"/>
    <col min="15873" max="15873" width="13.7109375" customWidth="1"/>
    <col min="15874" max="15874" width="29.140625" customWidth="1"/>
    <col min="15875" max="15875" width="15.5703125" customWidth="1"/>
    <col min="15876" max="15876" width="12.28515625" customWidth="1"/>
    <col min="15877" max="15877" width="14.5703125" customWidth="1"/>
    <col min="15878" max="15879" width="13.7109375" customWidth="1"/>
    <col min="15880" max="15880" width="12" customWidth="1"/>
    <col min="15881" max="15881" width="14.85546875" customWidth="1"/>
    <col min="15882" max="15882" width="11.42578125" customWidth="1"/>
    <col min="15883" max="15883" width="13.5703125" customWidth="1"/>
    <col min="15884" max="15884" width="12.42578125" bestFit="1" customWidth="1"/>
    <col min="15885" max="15885" width="14.28515625" customWidth="1"/>
    <col min="15886" max="15886" width="15" customWidth="1"/>
    <col min="15887" max="15887" width="13.42578125" customWidth="1"/>
    <col min="15888" max="15888" width="16.140625" customWidth="1"/>
    <col min="15889" max="15889" width="25.42578125" customWidth="1"/>
    <col min="15890" max="15890" width="16" customWidth="1"/>
    <col min="15891" max="15891" width="20.28515625" customWidth="1"/>
    <col min="15892" max="15892" width="18" customWidth="1"/>
    <col min="15893" max="15893" width="17.7109375" customWidth="1"/>
    <col min="16129" max="16129" width="13.7109375" customWidth="1"/>
    <col min="16130" max="16130" width="29.140625" customWidth="1"/>
    <col min="16131" max="16131" width="15.5703125" customWidth="1"/>
    <col min="16132" max="16132" width="12.28515625" customWidth="1"/>
    <col min="16133" max="16133" width="14.5703125" customWidth="1"/>
    <col min="16134" max="16135" width="13.7109375" customWidth="1"/>
    <col min="16136" max="16136" width="12" customWidth="1"/>
    <col min="16137" max="16137" width="14.85546875" customWidth="1"/>
    <col min="16138" max="16138" width="11.42578125" customWidth="1"/>
    <col min="16139" max="16139" width="13.5703125" customWidth="1"/>
    <col min="16140" max="16140" width="12.42578125" bestFit="1" customWidth="1"/>
    <col min="16141" max="16141" width="14.28515625" customWidth="1"/>
    <col min="16142" max="16142" width="15" customWidth="1"/>
    <col min="16143" max="16143" width="13.42578125" customWidth="1"/>
    <col min="16144" max="16144" width="16.140625" customWidth="1"/>
    <col min="16145" max="16145" width="25.42578125" customWidth="1"/>
    <col min="16146" max="16146" width="16" customWidth="1"/>
    <col min="16147" max="16147" width="20.28515625" customWidth="1"/>
    <col min="16148" max="16148" width="18" customWidth="1"/>
    <col min="16149" max="16149" width="17.710937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7" spans="1:19" x14ac:dyDescent="0.2">
      <c r="A7" t="s">
        <v>0</v>
      </c>
      <c r="B7" t="s">
        <v>1</v>
      </c>
      <c r="C7" t="s">
        <v>19</v>
      </c>
      <c r="D7" t="s">
        <v>5</v>
      </c>
      <c r="E7" t="s">
        <v>19</v>
      </c>
      <c r="F7" t="s">
        <v>6</v>
      </c>
      <c r="G7" t="s">
        <v>19</v>
      </c>
      <c r="H7" t="s">
        <v>7</v>
      </c>
      <c r="I7" t="s">
        <v>19</v>
      </c>
      <c r="J7" t="s">
        <v>8</v>
      </c>
      <c r="K7" t="s">
        <v>19</v>
      </c>
      <c r="L7" t="s">
        <v>9</v>
      </c>
      <c r="M7" t="s">
        <v>19</v>
      </c>
      <c r="N7" t="s">
        <v>2</v>
      </c>
      <c r="O7" t="s">
        <v>19</v>
      </c>
      <c r="P7" t="s">
        <v>20</v>
      </c>
      <c r="Q7" t="s">
        <v>21</v>
      </c>
      <c r="R7" t="s">
        <v>22</v>
      </c>
      <c r="S7" t="s">
        <v>23</v>
      </c>
    </row>
    <row r="8" spans="1:19" x14ac:dyDescent="0.2">
      <c r="A8">
        <v>1000</v>
      </c>
      <c r="B8">
        <v>1</v>
      </c>
      <c r="C8">
        <v>905.04049999999995</v>
      </c>
      <c r="D8">
        <v>1</v>
      </c>
      <c r="E8">
        <v>684.06365999999991</v>
      </c>
      <c r="F8">
        <v>1</v>
      </c>
      <c r="G8">
        <v>296.10406</v>
      </c>
      <c r="H8">
        <v>0</v>
      </c>
      <c r="I8">
        <v>104.57409199999999</v>
      </c>
      <c r="J8">
        <v>4</v>
      </c>
      <c r="K8">
        <v>41.972434</v>
      </c>
      <c r="L8">
        <v>1</v>
      </c>
      <c r="M8">
        <v>18.701325999999998</v>
      </c>
      <c r="N8">
        <v>0</v>
      </c>
      <c r="O8">
        <v>8.7391877999999981</v>
      </c>
      <c r="P8" s="3">
        <f>(B8*C8)+(D8*E8)+(F8*G8)+(H8*I8)+(J8*K8)+(L8*M8)+(N8*O8)</f>
        <v>2071.7992819999999</v>
      </c>
    </row>
    <row r="9" spans="1:19" x14ac:dyDescent="0.2">
      <c r="A9">
        <v>2000</v>
      </c>
      <c r="B9">
        <v>7</v>
      </c>
      <c r="C9">
        <v>905.04049999999995</v>
      </c>
      <c r="D9">
        <v>5</v>
      </c>
      <c r="E9">
        <v>684.06365999999991</v>
      </c>
      <c r="F9">
        <v>11</v>
      </c>
      <c r="G9">
        <v>296.10406</v>
      </c>
      <c r="H9">
        <v>22</v>
      </c>
      <c r="I9">
        <v>104.57409199999999</v>
      </c>
      <c r="J9">
        <v>39</v>
      </c>
      <c r="K9">
        <v>41.972434</v>
      </c>
      <c r="L9">
        <v>37</v>
      </c>
      <c r="M9">
        <v>18.701325999999998</v>
      </c>
      <c r="N9">
        <v>24</v>
      </c>
      <c r="O9">
        <v>8.7391877999999981</v>
      </c>
      <c r="P9" s="3">
        <f t="shared" ref="P9:P23" si="0">(B9*C9)+(D9*E9)+(F9*G9)+(H9*I9)+(J9*K9)+(L9*M9)+(N9*O9)</f>
        <v>17851.9909792</v>
      </c>
    </row>
    <row r="10" spans="1:19" x14ac:dyDescent="0.2">
      <c r="A10">
        <v>3000</v>
      </c>
      <c r="B10">
        <v>23</v>
      </c>
      <c r="C10">
        <v>905.04049999999995</v>
      </c>
      <c r="D10">
        <v>25</v>
      </c>
      <c r="E10">
        <v>684.06365999999991</v>
      </c>
      <c r="F10">
        <v>35</v>
      </c>
      <c r="G10">
        <v>296.10406</v>
      </c>
      <c r="H10">
        <v>51</v>
      </c>
      <c r="I10">
        <v>104.57409199999999</v>
      </c>
      <c r="J10">
        <v>86</v>
      </c>
      <c r="K10">
        <v>41.972434</v>
      </c>
      <c r="L10">
        <v>136</v>
      </c>
      <c r="M10">
        <v>18.701325999999998</v>
      </c>
      <c r="N10">
        <v>79</v>
      </c>
      <c r="O10">
        <v>8.7391877999999981</v>
      </c>
      <c r="P10" s="3">
        <f t="shared" si="0"/>
        <v>60457.849288199999</v>
      </c>
    </row>
    <row r="11" spans="1:19" x14ac:dyDescent="0.2">
      <c r="A11">
        <v>4000</v>
      </c>
      <c r="B11">
        <v>11</v>
      </c>
      <c r="C11">
        <v>905.04049999999995</v>
      </c>
      <c r="D11">
        <v>12</v>
      </c>
      <c r="E11">
        <v>684.06365999999991</v>
      </c>
      <c r="F11">
        <v>19</v>
      </c>
      <c r="G11">
        <v>296.10406</v>
      </c>
      <c r="H11">
        <v>51</v>
      </c>
      <c r="I11">
        <v>104.57409199999999</v>
      </c>
      <c r="J11">
        <v>66</v>
      </c>
      <c r="K11">
        <v>41.972434</v>
      </c>
      <c r="L11">
        <v>89</v>
      </c>
      <c r="M11">
        <v>18.701325999999998</v>
      </c>
      <c r="N11">
        <v>57</v>
      </c>
      <c r="O11">
        <v>8.7391877999999981</v>
      </c>
      <c r="P11" s="3">
        <f t="shared" si="0"/>
        <v>34056.197614599994</v>
      </c>
    </row>
    <row r="12" spans="1:19" x14ac:dyDescent="0.2">
      <c r="A12">
        <v>5000</v>
      </c>
      <c r="B12">
        <v>23</v>
      </c>
      <c r="C12">
        <v>905.04049999999995</v>
      </c>
      <c r="D12">
        <v>88</v>
      </c>
      <c r="E12">
        <v>684.06365999999991</v>
      </c>
      <c r="F12">
        <v>218</v>
      </c>
      <c r="G12">
        <v>296.10406</v>
      </c>
      <c r="H12">
        <v>543</v>
      </c>
      <c r="I12">
        <v>104.57409199999999</v>
      </c>
      <c r="J12">
        <v>990</v>
      </c>
      <c r="K12">
        <v>41.972434</v>
      </c>
      <c r="L12">
        <v>946</v>
      </c>
      <c r="M12">
        <v>18.701325999999998</v>
      </c>
      <c r="N12">
        <v>598</v>
      </c>
      <c r="O12">
        <v>8.7391877999999981</v>
      </c>
      <c r="P12" s="3">
        <f t="shared" si="0"/>
        <v>266818.14897639997</v>
      </c>
    </row>
    <row r="13" spans="1:19" x14ac:dyDescent="0.2">
      <c r="A13">
        <v>10000</v>
      </c>
      <c r="B13">
        <v>7</v>
      </c>
      <c r="C13">
        <v>905.04049999999995</v>
      </c>
      <c r="D13">
        <v>18</v>
      </c>
      <c r="E13">
        <v>684.06365999999991</v>
      </c>
      <c r="F13">
        <v>99</v>
      </c>
      <c r="G13">
        <v>296.10406</v>
      </c>
      <c r="H13">
        <v>192</v>
      </c>
      <c r="I13">
        <v>104.57409199999999</v>
      </c>
      <c r="J13">
        <v>382</v>
      </c>
      <c r="K13">
        <v>41.972434</v>
      </c>
      <c r="L13">
        <v>428</v>
      </c>
      <c r="M13">
        <v>18.701325999999998</v>
      </c>
      <c r="N13">
        <v>259</v>
      </c>
      <c r="O13">
        <v>8.7391877999999981</v>
      </c>
      <c r="P13" s="3">
        <f t="shared" si="0"/>
        <v>94342.04394019999</v>
      </c>
      <c r="Q13" s="3">
        <f>P13+Q14</f>
        <v>261916.71018659999</v>
      </c>
      <c r="R13">
        <v>3160200</v>
      </c>
      <c r="S13">
        <f>(Q13/R13)*100</f>
        <v>8.2879789312891585</v>
      </c>
    </row>
    <row r="14" spans="1:19" x14ac:dyDescent="0.2">
      <c r="A14">
        <v>15000</v>
      </c>
      <c r="B14">
        <v>0</v>
      </c>
      <c r="C14">
        <v>905.04049999999995</v>
      </c>
      <c r="D14">
        <v>11</v>
      </c>
      <c r="E14">
        <v>684.06365999999991</v>
      </c>
      <c r="F14">
        <v>41</v>
      </c>
      <c r="G14">
        <v>296.10406</v>
      </c>
      <c r="H14">
        <v>113</v>
      </c>
      <c r="I14">
        <v>104.57409199999999</v>
      </c>
      <c r="J14">
        <v>242</v>
      </c>
      <c r="K14">
        <v>41.972434</v>
      </c>
      <c r="L14">
        <v>257</v>
      </c>
      <c r="M14">
        <v>18.701325999999998</v>
      </c>
      <c r="N14">
        <v>159</v>
      </c>
      <c r="O14">
        <v>8.7391877999999981</v>
      </c>
      <c r="P14" s="3">
        <f t="shared" si="0"/>
        <v>47834.939786199997</v>
      </c>
      <c r="Q14" s="3">
        <f>P14+Q15</f>
        <v>167574.66624640001</v>
      </c>
      <c r="R14">
        <v>3160200</v>
      </c>
      <c r="S14" s="4">
        <f t="shared" ref="S14:S22" si="1">(Q14/R14)*100</f>
        <v>5.3026601558888675</v>
      </c>
    </row>
    <row r="15" spans="1:19" x14ac:dyDescent="0.2">
      <c r="A15">
        <v>20000</v>
      </c>
      <c r="B15">
        <v>3</v>
      </c>
      <c r="C15">
        <v>905.04049999999995</v>
      </c>
      <c r="D15">
        <v>9</v>
      </c>
      <c r="E15">
        <v>684.06365999999991</v>
      </c>
      <c r="F15">
        <v>22</v>
      </c>
      <c r="G15">
        <v>296.10406</v>
      </c>
      <c r="H15">
        <v>86</v>
      </c>
      <c r="I15">
        <v>104.57409199999999</v>
      </c>
      <c r="J15">
        <v>162</v>
      </c>
      <c r="K15">
        <v>41.972434</v>
      </c>
      <c r="L15">
        <v>173</v>
      </c>
      <c r="M15">
        <v>18.701325999999998</v>
      </c>
      <c r="N15">
        <v>104</v>
      </c>
      <c r="O15">
        <v>8.7391877999999981</v>
      </c>
      <c r="P15" s="3">
        <f t="shared" si="0"/>
        <v>35323.094909200001</v>
      </c>
      <c r="Q15" s="3">
        <f>P15+Q16</f>
        <v>119739.72646020001</v>
      </c>
      <c r="R15">
        <v>3160200</v>
      </c>
      <c r="S15">
        <f t="shared" si="1"/>
        <v>3.78899204038352</v>
      </c>
    </row>
    <row r="16" spans="1:19" x14ac:dyDescent="0.2">
      <c r="A16">
        <v>25000</v>
      </c>
      <c r="B16">
        <v>2</v>
      </c>
      <c r="C16">
        <v>905.04049999999995</v>
      </c>
      <c r="D16">
        <v>6</v>
      </c>
      <c r="E16">
        <v>684.06365999999991</v>
      </c>
      <c r="F16">
        <v>14</v>
      </c>
      <c r="G16">
        <v>296.10406</v>
      </c>
      <c r="H16">
        <v>57</v>
      </c>
      <c r="I16">
        <v>104.57409199999999</v>
      </c>
      <c r="J16">
        <v>107</v>
      </c>
      <c r="K16">
        <v>41.972434</v>
      </c>
      <c r="L16">
        <v>109</v>
      </c>
      <c r="M16">
        <v>18.701325999999998</v>
      </c>
      <c r="N16">
        <v>91</v>
      </c>
      <c r="O16">
        <v>8.7391877999999981</v>
      </c>
      <c r="P16" s="3">
        <f t="shared" si="0"/>
        <v>23345.4041058</v>
      </c>
      <c r="Q16" s="3">
        <f>P16+Q17</f>
        <v>84416.631550999999</v>
      </c>
      <c r="R16">
        <v>3160200</v>
      </c>
      <c r="S16" s="4">
        <f t="shared" si="1"/>
        <v>2.671243324821214</v>
      </c>
    </row>
    <row r="17" spans="1:21" x14ac:dyDescent="0.2">
      <c r="A17">
        <v>30000</v>
      </c>
      <c r="B17">
        <v>2</v>
      </c>
      <c r="C17">
        <v>905.04049999999995</v>
      </c>
      <c r="D17">
        <v>5</v>
      </c>
      <c r="E17">
        <v>684.06365999999991</v>
      </c>
      <c r="F17">
        <v>24</v>
      </c>
      <c r="G17">
        <v>296.10406</v>
      </c>
      <c r="H17">
        <v>60</v>
      </c>
      <c r="I17">
        <v>104.57409199999999</v>
      </c>
      <c r="J17">
        <v>123</v>
      </c>
      <c r="K17">
        <v>41.972434</v>
      </c>
      <c r="L17">
        <v>143</v>
      </c>
      <c r="M17">
        <v>18.701325999999998</v>
      </c>
      <c r="N17">
        <v>117</v>
      </c>
      <c r="O17">
        <v>8.7391877999999981</v>
      </c>
      <c r="P17" s="3">
        <f t="shared" si="0"/>
        <v>27470.726232599995</v>
      </c>
      <c r="Q17" s="3">
        <f>P17+Q18</f>
        <v>61071.227445199998</v>
      </c>
      <c r="R17">
        <v>3160200</v>
      </c>
      <c r="S17" s="4">
        <f t="shared" si="1"/>
        <v>1.93251146905892</v>
      </c>
    </row>
    <row r="18" spans="1:21" x14ac:dyDescent="0.2">
      <c r="A18">
        <v>40000</v>
      </c>
      <c r="B18">
        <v>1</v>
      </c>
      <c r="C18">
        <v>905.04049999999995</v>
      </c>
      <c r="D18">
        <v>2</v>
      </c>
      <c r="E18">
        <v>684.06365999999991</v>
      </c>
      <c r="F18">
        <v>13</v>
      </c>
      <c r="G18">
        <v>296.10406</v>
      </c>
      <c r="H18">
        <v>32</v>
      </c>
      <c r="I18">
        <v>104.57409199999999</v>
      </c>
      <c r="J18">
        <v>71</v>
      </c>
      <c r="K18">
        <v>41.972434</v>
      </c>
      <c r="L18">
        <v>80</v>
      </c>
      <c r="M18">
        <v>18.701325999999998</v>
      </c>
      <c r="N18">
        <v>60</v>
      </c>
      <c r="O18">
        <v>8.7391877999999981</v>
      </c>
      <c r="P18" s="3">
        <f t="shared" si="0"/>
        <v>14469.391706</v>
      </c>
      <c r="Q18" s="3">
        <f>P18+P19+P20+P21+P22</f>
        <v>33600.5012126</v>
      </c>
      <c r="R18">
        <v>3160200</v>
      </c>
      <c r="S18">
        <f t="shared" si="1"/>
        <v>1.0632397067464086</v>
      </c>
    </row>
    <row r="19" spans="1:21" x14ac:dyDescent="0.2">
      <c r="A19">
        <v>50000</v>
      </c>
      <c r="B19">
        <v>1</v>
      </c>
      <c r="C19">
        <v>905.04049999999995</v>
      </c>
      <c r="D19">
        <v>0</v>
      </c>
      <c r="E19">
        <v>684.06365999999991</v>
      </c>
      <c r="F19">
        <v>2</v>
      </c>
      <c r="G19">
        <v>296.10406</v>
      </c>
      <c r="H19">
        <v>10</v>
      </c>
      <c r="I19">
        <v>104.57409199999999</v>
      </c>
      <c r="J19">
        <v>30</v>
      </c>
      <c r="K19">
        <v>41.972434</v>
      </c>
      <c r="L19">
        <v>48</v>
      </c>
      <c r="M19">
        <v>18.701325999999998</v>
      </c>
      <c r="N19">
        <v>34</v>
      </c>
      <c r="O19">
        <v>8.7391877999999981</v>
      </c>
      <c r="P19" s="3">
        <f t="shared" si="0"/>
        <v>4996.9585931999991</v>
      </c>
      <c r="Q19" s="3">
        <f>P19+P20+P21+P22</f>
        <v>19131.109506599998</v>
      </c>
      <c r="R19">
        <v>3160200</v>
      </c>
      <c r="S19" s="4">
        <f t="shared" si="1"/>
        <v>0.60537654283273201</v>
      </c>
    </row>
    <row r="20" spans="1:21" x14ac:dyDescent="0.2">
      <c r="A20">
        <v>60000</v>
      </c>
      <c r="B20">
        <v>0</v>
      </c>
      <c r="C20">
        <v>905.04049999999995</v>
      </c>
      <c r="D20">
        <v>0</v>
      </c>
      <c r="E20">
        <v>684.06365999999991</v>
      </c>
      <c r="F20">
        <v>1</v>
      </c>
      <c r="G20">
        <v>296.10406</v>
      </c>
      <c r="H20">
        <v>13</v>
      </c>
      <c r="I20">
        <v>104.57409199999999</v>
      </c>
      <c r="J20">
        <v>19</v>
      </c>
      <c r="K20">
        <v>41.972434</v>
      </c>
      <c r="L20">
        <v>28</v>
      </c>
      <c r="M20">
        <v>18.701325999999998</v>
      </c>
      <c r="N20">
        <v>29</v>
      </c>
      <c r="O20">
        <v>8.7391877999999981</v>
      </c>
      <c r="P20" s="3">
        <f t="shared" si="0"/>
        <v>3230.1170761999992</v>
      </c>
      <c r="Q20" s="3">
        <f>P21+P20+P22</f>
        <v>14134.150913399997</v>
      </c>
      <c r="R20">
        <v>3160200</v>
      </c>
      <c r="S20">
        <f t="shared" si="1"/>
        <v>0.44725494947788108</v>
      </c>
    </row>
    <row r="21" spans="1:21" x14ac:dyDescent="0.2">
      <c r="A21">
        <v>70000</v>
      </c>
      <c r="B21">
        <v>0</v>
      </c>
      <c r="C21">
        <v>905.04049999999995</v>
      </c>
      <c r="D21">
        <v>0</v>
      </c>
      <c r="E21">
        <v>684.06365999999991</v>
      </c>
      <c r="F21">
        <v>0</v>
      </c>
      <c r="G21">
        <v>296.10406</v>
      </c>
      <c r="H21">
        <v>8</v>
      </c>
      <c r="I21">
        <v>104.57409199999999</v>
      </c>
      <c r="J21">
        <v>30</v>
      </c>
      <c r="K21">
        <v>41.972434</v>
      </c>
      <c r="L21">
        <v>55</v>
      </c>
      <c r="M21">
        <v>18.701325999999998</v>
      </c>
      <c r="N21">
        <v>35</v>
      </c>
      <c r="O21">
        <v>8.7391877999999981</v>
      </c>
      <c r="P21" s="3">
        <f t="shared" si="0"/>
        <v>3430.2102589999995</v>
      </c>
      <c r="Q21" s="3">
        <f>P22+P21</f>
        <v>10904.033837199999</v>
      </c>
      <c r="R21">
        <v>3160200</v>
      </c>
      <c r="S21">
        <f t="shared" si="1"/>
        <v>0.34504252380229095</v>
      </c>
    </row>
    <row r="22" spans="1:21" x14ac:dyDescent="0.2">
      <c r="A22" t="s">
        <v>4</v>
      </c>
      <c r="B22">
        <v>0</v>
      </c>
      <c r="C22">
        <v>905.04049999999995</v>
      </c>
      <c r="D22">
        <v>2</v>
      </c>
      <c r="E22">
        <v>684.06365999999991</v>
      </c>
      <c r="F22">
        <v>9</v>
      </c>
      <c r="G22">
        <v>296.10406</v>
      </c>
      <c r="H22">
        <v>10</v>
      </c>
      <c r="I22">
        <v>104.57409199999999</v>
      </c>
      <c r="J22">
        <v>28</v>
      </c>
      <c r="K22">
        <v>41.972434</v>
      </c>
      <c r="L22">
        <v>47</v>
      </c>
      <c r="M22">
        <v>18.701325999999998</v>
      </c>
      <c r="N22">
        <v>39</v>
      </c>
      <c r="O22">
        <v>8.7391877999999981</v>
      </c>
      <c r="P22" s="3">
        <f t="shared" si="0"/>
        <v>7473.8235781999992</v>
      </c>
      <c r="Q22" s="3">
        <f>P22</f>
        <v>7473.8235781999992</v>
      </c>
      <c r="R22">
        <v>3160200</v>
      </c>
      <c r="S22" s="4">
        <f t="shared" si="1"/>
        <v>0.23649843611796717</v>
      </c>
    </row>
    <row r="23" spans="1:21" x14ac:dyDescent="0.2">
      <c r="A23" t="s">
        <v>3</v>
      </c>
      <c r="B23">
        <v>81</v>
      </c>
      <c r="C23">
        <v>905.04049999999995</v>
      </c>
      <c r="D23">
        <v>184</v>
      </c>
      <c r="E23">
        <v>684.06365999999991</v>
      </c>
      <c r="F23">
        <v>509</v>
      </c>
      <c r="G23">
        <v>296.10406</v>
      </c>
      <c r="H23">
        <v>1248</v>
      </c>
      <c r="I23">
        <v>104.57409199999999</v>
      </c>
      <c r="J23">
        <v>2379</v>
      </c>
      <c r="K23">
        <v>41.972434</v>
      </c>
      <c r="L23">
        <v>2577</v>
      </c>
      <c r="M23">
        <v>18.701325999999998</v>
      </c>
      <c r="N23">
        <v>1685</v>
      </c>
      <c r="O23">
        <v>8.7391877999999981</v>
      </c>
      <c r="P23" s="3">
        <f t="shared" si="0"/>
        <v>643172.69632699993</v>
      </c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t="s">
        <v>26</v>
      </c>
      <c r="B31" s="2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41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t="s">
        <v>4</v>
      </c>
      <c r="B32" s="6">
        <v>5.0000000000000001E-4</v>
      </c>
      <c r="C32" t="s">
        <v>44</v>
      </c>
      <c r="J32" s="5"/>
      <c r="K32" s="43">
        <v>1.9923038557643193</v>
      </c>
      <c r="L32" s="43">
        <v>2114.7731736138512</v>
      </c>
      <c r="M32" s="38">
        <f t="shared" ref="M32:M37" si="2">POWER(B32,1/K32)</f>
        <v>2.2034802728775126E-2</v>
      </c>
      <c r="N32" s="8">
        <f t="shared" ref="N32:N37" si="3">L32/M32</f>
        <v>95974.227663594225</v>
      </c>
      <c r="O32" s="5">
        <v>3160200</v>
      </c>
      <c r="P32" s="8">
        <f>O32*(K32/(1-K32))*POWER(L32,K32)*(-1)*POWER(N32,1-K32)</f>
        <v>304473917.81844324</v>
      </c>
      <c r="Q32" s="9">
        <f t="shared" ref="Q32:Q37" si="4">B32*O32</f>
        <v>1580.1000000000001</v>
      </c>
      <c r="R32" s="4">
        <f t="shared" ref="R32:R37" si="5">P32/Q32</f>
        <v>192692.81552967738</v>
      </c>
      <c r="S32" s="9">
        <f t="shared" ref="S32:S37" si="6">21.477*1.23*P32</f>
        <v>8043199189.5736475</v>
      </c>
      <c r="T32" s="2"/>
      <c r="U32" s="10"/>
    </row>
    <row r="33" spans="1:21" ht="15" x14ac:dyDescent="0.25">
      <c r="A33" t="s">
        <v>4</v>
      </c>
      <c r="B33" s="6">
        <v>1E-3</v>
      </c>
      <c r="C33" t="s">
        <v>44</v>
      </c>
      <c r="J33" s="5"/>
      <c r="K33" s="43">
        <v>1.9923038557643193</v>
      </c>
      <c r="L33" s="43">
        <v>2114.7731736138512</v>
      </c>
      <c r="M33" s="38">
        <f t="shared" si="2"/>
        <v>3.1203664125515403E-2</v>
      </c>
      <c r="N33" s="8">
        <f t="shared" si="3"/>
        <v>67773.232178992403</v>
      </c>
      <c r="O33" s="5">
        <v>3160200</v>
      </c>
      <c r="P33" s="8">
        <f>O33*(K33/(1-K33))*POWER(L33,K33)*(POWER(N32,1-K33)-POWER(N33,1-K33))+P32</f>
        <v>430015057.7316764</v>
      </c>
      <c r="Q33" s="9">
        <f t="shared" si="4"/>
        <v>3160.2000000000003</v>
      </c>
      <c r="R33" s="4">
        <f t="shared" si="5"/>
        <v>136072.10231367519</v>
      </c>
      <c r="S33" s="9">
        <f t="shared" si="6"/>
        <v>11359583075.730953</v>
      </c>
      <c r="T33" s="2"/>
      <c r="U33" s="10"/>
    </row>
    <row r="34" spans="1:21" ht="15" x14ac:dyDescent="0.25">
      <c r="A34" t="s">
        <v>59</v>
      </c>
      <c r="B34" s="6">
        <v>2.5000000000000001E-3</v>
      </c>
      <c r="C34">
        <f>S22/100</f>
        <v>2.3649843611796718E-3</v>
      </c>
      <c r="D34">
        <f>S21/100</f>
        <v>3.4504252380229096E-3</v>
      </c>
      <c r="E34">
        <v>100000</v>
      </c>
      <c r="F34">
        <v>70000</v>
      </c>
      <c r="G34">
        <f>D34/C34</f>
        <v>1.4589632365694849</v>
      </c>
      <c r="H34">
        <f>LN(G34)</f>
        <v>0.37772607153262966</v>
      </c>
      <c r="I34">
        <f>E34/F34</f>
        <v>1.4285714285714286</v>
      </c>
      <c r="J34" s="5">
        <f>LN(I34)</f>
        <v>0.35667494393873239</v>
      </c>
      <c r="K34" s="4">
        <f>H34/J34</f>
        <v>1.0590204833606516</v>
      </c>
      <c r="L34" s="4">
        <f>F34*((D34)^(1/K34))</f>
        <v>331.27447734401937</v>
      </c>
      <c r="M34" s="7">
        <f>POWER(B34,1/K34)</f>
        <v>3.4910489384637582E-3</v>
      </c>
      <c r="N34" s="8">
        <f>L34/M34</f>
        <v>94892.533213755873</v>
      </c>
      <c r="O34" s="5">
        <v>3160200</v>
      </c>
      <c r="P34" s="8">
        <f>O34*(K34/(1-K34))*POWER(L34,K34)*(POWER(N33,1-K34)-POWER(N34,1-K34))+P33</f>
        <v>160118654.84692556</v>
      </c>
      <c r="Q34" s="9">
        <f t="shared" si="4"/>
        <v>7900.5</v>
      </c>
      <c r="R34" s="4">
        <f t="shared" si="5"/>
        <v>20266.901442557504</v>
      </c>
      <c r="S34" s="9">
        <f t="shared" si="6"/>
        <v>4229808070.6813264</v>
      </c>
      <c r="T34" s="2"/>
      <c r="U34" s="10"/>
    </row>
    <row r="35" spans="1:21" ht="15" x14ac:dyDescent="0.25">
      <c r="A35" t="s">
        <v>45</v>
      </c>
      <c r="B35" s="6">
        <v>5.0000000000000001E-3</v>
      </c>
      <c r="C35">
        <f>S20/100</f>
        <v>4.4725494947788109E-3</v>
      </c>
      <c r="D35">
        <f>S19/100</f>
        <v>6.0537654283273198E-3</v>
      </c>
      <c r="E35">
        <v>60000</v>
      </c>
      <c r="F35">
        <v>50000</v>
      </c>
      <c r="G35">
        <f>D35/C35</f>
        <v>1.3535379396906388</v>
      </c>
      <c r="H35">
        <f>LN(G35)</f>
        <v>0.30272186048146066</v>
      </c>
      <c r="I35">
        <f>E35/F35</f>
        <v>1.2</v>
      </c>
      <c r="J35" s="5">
        <f>LN(I35)</f>
        <v>0.18232155679395459</v>
      </c>
      <c r="K35" s="4">
        <f>H35/J35</f>
        <v>1.660373385378521</v>
      </c>
      <c r="L35" s="4">
        <f>F35*((D35)^(1/K35))</f>
        <v>2307.497877529142</v>
      </c>
      <c r="M35" s="7">
        <f t="shared" si="2"/>
        <v>4.1129087360230424E-2</v>
      </c>
      <c r="N35" s="8">
        <f t="shared" si="3"/>
        <v>56103.794799015312</v>
      </c>
      <c r="O35" s="5">
        <v>3160200</v>
      </c>
      <c r="P35" s="8">
        <f>O35*(K35/(1-K35))*POWER(L35,K35)*(POWER(N34,1-K35)-POWER(N35,1-K35))+P34</f>
        <v>813708453.19555759</v>
      </c>
      <c r="Q35" s="9">
        <f t="shared" si="4"/>
        <v>15801</v>
      </c>
      <c r="R35" s="4">
        <f t="shared" si="5"/>
        <v>51497.275691130788</v>
      </c>
      <c r="S35" s="9">
        <f t="shared" si="6"/>
        <v>21495500232.615616</v>
      </c>
      <c r="T35" s="2"/>
      <c r="U35" s="10"/>
    </row>
    <row r="36" spans="1:21" ht="15" x14ac:dyDescent="0.25">
      <c r="A36" t="s">
        <v>65</v>
      </c>
      <c r="B36" s="6">
        <v>0.01</v>
      </c>
      <c r="C36">
        <f>S19/100</f>
        <v>6.0537654283273198E-3</v>
      </c>
      <c r="D36">
        <f>S18/100</f>
        <v>1.0632397067464085E-2</v>
      </c>
      <c r="E36">
        <v>50000</v>
      </c>
      <c r="F36">
        <v>40000</v>
      </c>
      <c r="G36">
        <f>D36/C36</f>
        <v>1.7563278910200291</v>
      </c>
      <c r="H36">
        <f>LN(G36)</f>
        <v>0.56322520387518848</v>
      </c>
      <c r="I36">
        <f>E36/F36</f>
        <v>1.25</v>
      </c>
      <c r="J36" s="5">
        <f>LN(I36)</f>
        <v>0.22314355131420976</v>
      </c>
      <c r="K36" s="4">
        <f>H36/J36</f>
        <v>2.5240487594557806</v>
      </c>
      <c r="L36" s="4">
        <f>F36*((D36)^(1/K36))</f>
        <v>6610.4838935116786</v>
      </c>
      <c r="M36" s="7">
        <f t="shared" si="2"/>
        <v>0.16129551089646846</v>
      </c>
      <c r="N36" s="8">
        <f t="shared" si="3"/>
        <v>40983.681794806937</v>
      </c>
      <c r="O36" s="5">
        <v>3160200</v>
      </c>
      <c r="P36" s="8">
        <f>O36*(K36/(1-K36))*POWER(L36,K36)*(POWER(N35,1-K36)-POWER(N36,1-K36))+P35</f>
        <v>1629548146.7950997</v>
      </c>
      <c r="Q36" s="9">
        <f t="shared" si="4"/>
        <v>31602</v>
      </c>
      <c r="R36" s="4">
        <f t="shared" si="5"/>
        <v>51564.715739355095</v>
      </c>
      <c r="S36" s="9">
        <f t="shared" si="6"/>
        <v>43047300824.923576</v>
      </c>
      <c r="T36" s="2"/>
      <c r="U36" s="10"/>
    </row>
    <row r="37" spans="1:21" ht="15" x14ac:dyDescent="0.25">
      <c r="A37" t="s">
        <v>47</v>
      </c>
      <c r="B37" s="6">
        <v>0.02</v>
      </c>
      <c r="C37">
        <f>S17/100</f>
        <v>1.9325114690589201E-2</v>
      </c>
      <c r="D37">
        <f>S16/100</f>
        <v>2.6712433248212139E-2</v>
      </c>
      <c r="E37">
        <v>30000</v>
      </c>
      <c r="F37">
        <v>25000</v>
      </c>
      <c r="G37">
        <f>D37/C37</f>
        <v>1.3822651857906105</v>
      </c>
      <c r="H37">
        <f>LN(G37)</f>
        <v>0.3237235924592321</v>
      </c>
      <c r="I37">
        <f>E37/F37</f>
        <v>1.2</v>
      </c>
      <c r="J37" s="5">
        <f>LN(I37)</f>
        <v>0.18232155679395459</v>
      </c>
      <c r="K37" s="4">
        <f>H37/J37</f>
        <v>1.7755639988587795</v>
      </c>
      <c r="L37" s="4">
        <f>F37*((D37)^(1/K37))</f>
        <v>3249.8471568105183</v>
      </c>
      <c r="M37" s="7">
        <f t="shared" si="2"/>
        <v>0.11044290955109314</v>
      </c>
      <c r="N37" s="8">
        <f t="shared" si="3"/>
        <v>29425.584403922941</v>
      </c>
      <c r="O37" s="5">
        <v>3160200</v>
      </c>
      <c r="P37" s="8">
        <f>O37*(K37/(1-K37))*POWER(L37,K37)*(POWER(N36,1-K37)-POWER(N37,1-K37))+P36</f>
        <v>2594348777.6045275</v>
      </c>
      <c r="Q37" s="9">
        <f t="shared" si="4"/>
        <v>63204</v>
      </c>
      <c r="R37" s="4">
        <f t="shared" si="5"/>
        <v>41047.224504849808</v>
      </c>
      <c r="S37" s="9">
        <f t="shared" si="6"/>
        <v>68534159296.83329</v>
      </c>
      <c r="T37" s="2"/>
      <c r="U37" s="10"/>
    </row>
    <row r="38" spans="1:21" ht="15" x14ac:dyDescent="0.25">
      <c r="B38" s="11"/>
      <c r="N38" s="12"/>
    </row>
    <row r="40" spans="1:21" x14ac:dyDescent="0.2">
      <c r="P40" s="5">
        <v>3160200</v>
      </c>
      <c r="Q40" s="5">
        <v>4878105</v>
      </c>
    </row>
    <row r="41" spans="1:21" x14ac:dyDescent="0.2">
      <c r="A41" s="13" t="s">
        <v>49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P41" s="27">
        <f>K32/(1-K32)</f>
        <v>-2.0077558342547732</v>
      </c>
      <c r="Q41">
        <v>-2.4932795928213092</v>
      </c>
    </row>
    <row r="42" spans="1:21" x14ac:dyDescent="0.2">
      <c r="A42" s="13"/>
      <c r="B42" s="13" t="s">
        <v>50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P42">
        <f>POWER(L32,K32)</f>
        <v>4216342.4365741732</v>
      </c>
      <c r="Q42">
        <v>182799.54307268254</v>
      </c>
    </row>
    <row r="43" spans="1:21" x14ac:dyDescent="0.2">
      <c r="P43" s="27">
        <f>POWER(N32,1-K32)</f>
        <v>1.1381218331684476E-5</v>
      </c>
      <c r="Q43">
        <v>3.6776097359045258E-4</v>
      </c>
    </row>
    <row r="45" spans="1:21" ht="15.75" x14ac:dyDescent="0.25">
      <c r="A45" s="1" t="s">
        <v>51</v>
      </c>
    </row>
    <row r="47" spans="1:21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1000</v>
      </c>
      <c r="B50">
        <v>0</v>
      </c>
      <c r="C50">
        <v>2193.3603999999996</v>
      </c>
      <c r="D50">
        <v>0</v>
      </c>
      <c r="E50">
        <v>1089.8920199999998</v>
      </c>
      <c r="F50">
        <v>2</v>
      </c>
      <c r="G50">
        <v>437.98579999999993</v>
      </c>
      <c r="H50">
        <v>3</v>
      </c>
      <c r="I50">
        <v>199.07229999999998</v>
      </c>
      <c r="J50">
        <v>6</v>
      </c>
      <c r="K50">
        <v>79.012640000000005</v>
      </c>
      <c r="L50">
        <v>3</v>
      </c>
      <c r="M50">
        <v>28.874565999999998</v>
      </c>
      <c r="N50">
        <v>3</v>
      </c>
      <c r="O50">
        <v>10.215192399999999</v>
      </c>
      <c r="P50" s="3">
        <f>(B50*C50)+(D50*E50)+(F50*G50)+(H50*I50)+(J50*K50)+(L50*M50)+(N50*O50)</f>
        <v>2064.5336151999995</v>
      </c>
      <c r="Q50" s="3"/>
    </row>
    <row r="51" spans="1:19" x14ac:dyDescent="0.2">
      <c r="A51">
        <v>2000</v>
      </c>
      <c r="B51">
        <v>1</v>
      </c>
      <c r="C51">
        <v>2193.3603999999996</v>
      </c>
      <c r="D51">
        <v>2</v>
      </c>
      <c r="E51">
        <v>1089.8920199999998</v>
      </c>
      <c r="F51">
        <v>7</v>
      </c>
      <c r="G51">
        <v>437.98579999999993</v>
      </c>
      <c r="H51">
        <v>18</v>
      </c>
      <c r="I51">
        <v>199.07229999999998</v>
      </c>
      <c r="J51">
        <v>34</v>
      </c>
      <c r="K51">
        <v>79.012640000000005</v>
      </c>
      <c r="L51">
        <v>59</v>
      </c>
      <c r="M51">
        <v>28.874565999999998</v>
      </c>
      <c r="N51">
        <v>57</v>
      </c>
      <c r="O51">
        <v>10.215192399999999</v>
      </c>
      <c r="P51" s="3">
        <f t="shared" ref="P51:P65" si="7">(B51*C51)+(D51*E51)+(F51*G51)+(H51*I51)+(J51*K51)+(L51*M51)+(N51*O51)</f>
        <v>15994.641560800001</v>
      </c>
      <c r="Q51" s="3"/>
    </row>
    <row r="52" spans="1:19" x14ac:dyDescent="0.2">
      <c r="A52">
        <v>3000</v>
      </c>
      <c r="B52">
        <v>1</v>
      </c>
      <c r="C52">
        <v>2193.3603999999996</v>
      </c>
      <c r="D52">
        <v>4</v>
      </c>
      <c r="E52">
        <v>1089.8920199999998</v>
      </c>
      <c r="F52">
        <v>21</v>
      </c>
      <c r="G52">
        <v>437.98579999999993</v>
      </c>
      <c r="H52">
        <v>43</v>
      </c>
      <c r="I52">
        <v>199.07229999999998</v>
      </c>
      <c r="J52">
        <v>99</v>
      </c>
      <c r="K52">
        <v>79.012640000000005</v>
      </c>
      <c r="L52">
        <v>185</v>
      </c>
      <c r="M52">
        <v>28.874565999999998</v>
      </c>
      <c r="N52">
        <v>171</v>
      </c>
      <c r="O52">
        <v>10.215192399999999</v>
      </c>
      <c r="P52" s="3">
        <f t="shared" si="7"/>
        <v>39221.583150400002</v>
      </c>
      <c r="Q52" s="3"/>
    </row>
    <row r="53" spans="1:19" x14ac:dyDescent="0.2">
      <c r="A53">
        <v>4000</v>
      </c>
      <c r="B53">
        <v>1</v>
      </c>
      <c r="C53">
        <v>2193.3603999999996</v>
      </c>
      <c r="D53">
        <v>5</v>
      </c>
      <c r="E53">
        <v>1089.8920199999998</v>
      </c>
      <c r="F53">
        <v>12</v>
      </c>
      <c r="G53">
        <v>437.98579999999993</v>
      </c>
      <c r="H53">
        <v>32</v>
      </c>
      <c r="I53">
        <v>199.07229999999998</v>
      </c>
      <c r="J53">
        <v>65</v>
      </c>
      <c r="K53">
        <v>79.012640000000005</v>
      </c>
      <c r="L53">
        <v>132</v>
      </c>
      <c r="M53">
        <v>28.874565999999998</v>
      </c>
      <c r="N53">
        <v>121</v>
      </c>
      <c r="O53">
        <v>10.215192399999999</v>
      </c>
      <c r="P53" s="3">
        <f t="shared" si="7"/>
        <v>29452.266292399996</v>
      </c>
      <c r="Q53" s="3"/>
    </row>
    <row r="54" spans="1:19" x14ac:dyDescent="0.2">
      <c r="A54">
        <v>5000</v>
      </c>
      <c r="B54">
        <v>3</v>
      </c>
      <c r="C54">
        <v>2193.3603999999996</v>
      </c>
      <c r="D54">
        <v>15</v>
      </c>
      <c r="E54">
        <v>1089.8920199999998</v>
      </c>
      <c r="F54">
        <v>49</v>
      </c>
      <c r="G54">
        <v>437.98579999999993</v>
      </c>
      <c r="H54">
        <v>184</v>
      </c>
      <c r="I54">
        <v>199.07229999999998</v>
      </c>
      <c r="J54">
        <v>414</v>
      </c>
      <c r="K54">
        <v>79.012640000000005</v>
      </c>
      <c r="L54">
        <v>692</v>
      </c>
      <c r="M54">
        <v>28.874565999999998</v>
      </c>
      <c r="N54">
        <v>690</v>
      </c>
      <c r="O54">
        <v>10.215192399999999</v>
      </c>
      <c r="P54" s="3">
        <f t="shared" si="7"/>
        <v>140759.98428799998</v>
      </c>
      <c r="Q54" s="3">
        <f t="shared" ref="Q54:Q62" si="8">Q55+P54</f>
        <v>258747.55937239996</v>
      </c>
      <c r="R54">
        <v>3143000</v>
      </c>
      <c r="S54">
        <f>Q54/R54*100</f>
        <v>8.2325026844543423</v>
      </c>
    </row>
    <row r="55" spans="1:19" x14ac:dyDescent="0.2">
      <c r="A55">
        <v>10000</v>
      </c>
      <c r="B55">
        <v>0</v>
      </c>
      <c r="C55">
        <v>2193.3603999999996</v>
      </c>
      <c r="D55">
        <v>4</v>
      </c>
      <c r="E55">
        <v>1089.8920199999998</v>
      </c>
      <c r="F55">
        <v>27</v>
      </c>
      <c r="G55">
        <v>437.98579999999993</v>
      </c>
      <c r="H55">
        <v>60</v>
      </c>
      <c r="I55">
        <v>199.07229999999998</v>
      </c>
      <c r="J55">
        <v>136</v>
      </c>
      <c r="K55">
        <v>79.012640000000005</v>
      </c>
      <c r="L55">
        <v>265</v>
      </c>
      <c r="M55">
        <v>28.874565999999998</v>
      </c>
      <c r="N55">
        <v>249</v>
      </c>
      <c r="O55">
        <v>10.215192399999999</v>
      </c>
      <c r="P55" s="3">
        <f t="shared" si="7"/>
        <v>49070.58461759999</v>
      </c>
      <c r="Q55" s="3">
        <f t="shared" si="8"/>
        <v>117987.57508439998</v>
      </c>
      <c r="R55">
        <v>3143000</v>
      </c>
      <c r="S55">
        <f>Q55/R55*100</f>
        <v>3.7539794808908686</v>
      </c>
    </row>
    <row r="56" spans="1:19" x14ac:dyDescent="0.2">
      <c r="A56">
        <v>15000</v>
      </c>
      <c r="B56">
        <v>0</v>
      </c>
      <c r="C56">
        <v>2193.3603999999996</v>
      </c>
      <c r="D56">
        <v>3</v>
      </c>
      <c r="E56">
        <v>1089.8920199999998</v>
      </c>
      <c r="F56">
        <v>8</v>
      </c>
      <c r="G56">
        <v>437.98579999999993</v>
      </c>
      <c r="H56">
        <v>25</v>
      </c>
      <c r="I56">
        <v>199.07229999999998</v>
      </c>
      <c r="J56">
        <v>77</v>
      </c>
      <c r="K56">
        <v>79.012640000000005</v>
      </c>
      <c r="L56">
        <v>136</v>
      </c>
      <c r="M56">
        <v>28.874565999999998</v>
      </c>
      <c r="N56">
        <v>118</v>
      </c>
      <c r="O56">
        <v>10.215192399999999</v>
      </c>
      <c r="P56" s="3">
        <f t="shared" si="7"/>
        <v>22966.676919199999</v>
      </c>
      <c r="Q56" s="3">
        <f t="shared" si="8"/>
        <v>68916.990466799994</v>
      </c>
      <c r="R56">
        <v>3143000</v>
      </c>
      <c r="S56">
        <f>Q56/R56*100</f>
        <v>2.1927136642316256</v>
      </c>
    </row>
    <row r="57" spans="1:19" x14ac:dyDescent="0.2">
      <c r="A57">
        <v>20000</v>
      </c>
      <c r="B57">
        <v>0</v>
      </c>
      <c r="C57">
        <v>2193.3603999999996</v>
      </c>
      <c r="D57">
        <v>1</v>
      </c>
      <c r="E57">
        <v>1089.8920199999998</v>
      </c>
      <c r="F57">
        <v>5</v>
      </c>
      <c r="G57">
        <v>437.98579999999993</v>
      </c>
      <c r="H57">
        <v>22</v>
      </c>
      <c r="I57">
        <v>199.07229999999998</v>
      </c>
      <c r="J57">
        <v>44</v>
      </c>
      <c r="K57">
        <v>79.012640000000005</v>
      </c>
      <c r="L57">
        <v>78</v>
      </c>
      <c r="M57">
        <v>28.874565999999998</v>
      </c>
      <c r="N57">
        <v>74</v>
      </c>
      <c r="O57">
        <v>10.215192399999999</v>
      </c>
      <c r="P57" s="3">
        <f t="shared" si="7"/>
        <v>14144.108165599999</v>
      </c>
      <c r="Q57" s="3">
        <f t="shared" si="8"/>
        <v>45950.313547599995</v>
      </c>
      <c r="R57">
        <v>3143000</v>
      </c>
      <c r="S57">
        <f t="shared" ref="S57:S63" si="9">Q57/R57*100</f>
        <v>1.4619889770155901</v>
      </c>
    </row>
    <row r="58" spans="1:19" x14ac:dyDescent="0.2">
      <c r="A58">
        <v>25000</v>
      </c>
      <c r="B58">
        <v>0</v>
      </c>
      <c r="C58">
        <v>2193.3603999999996</v>
      </c>
      <c r="D58">
        <v>2</v>
      </c>
      <c r="E58">
        <v>1089.8920199999998</v>
      </c>
      <c r="F58">
        <v>0</v>
      </c>
      <c r="G58">
        <v>437.98579999999993</v>
      </c>
      <c r="H58">
        <v>13</v>
      </c>
      <c r="I58">
        <v>199.07229999999998</v>
      </c>
      <c r="J58">
        <v>23</v>
      </c>
      <c r="K58">
        <v>79.012640000000005</v>
      </c>
      <c r="L58">
        <v>39</v>
      </c>
      <c r="M58">
        <v>28.874565999999998</v>
      </c>
      <c r="N58">
        <v>47</v>
      </c>
      <c r="O58">
        <v>10.215192399999999</v>
      </c>
      <c r="P58" s="3">
        <f t="shared" si="7"/>
        <v>8191.2367767999995</v>
      </c>
      <c r="Q58" s="3">
        <f t="shared" si="8"/>
        <v>31806.205381999996</v>
      </c>
      <c r="R58">
        <v>3143000</v>
      </c>
      <c r="S58">
        <f t="shared" si="9"/>
        <v>1.011969627171492</v>
      </c>
    </row>
    <row r="59" spans="1:19" x14ac:dyDescent="0.2">
      <c r="A59">
        <v>30000</v>
      </c>
      <c r="B59">
        <v>0</v>
      </c>
      <c r="C59">
        <v>2193.3603999999996</v>
      </c>
      <c r="D59">
        <v>3</v>
      </c>
      <c r="E59">
        <v>1089.8920199999998</v>
      </c>
      <c r="F59">
        <v>4</v>
      </c>
      <c r="G59">
        <v>437.98579999999993</v>
      </c>
      <c r="H59">
        <v>13</v>
      </c>
      <c r="I59">
        <v>199.07229999999998</v>
      </c>
      <c r="J59">
        <v>26</v>
      </c>
      <c r="K59">
        <v>79.012640000000005</v>
      </c>
      <c r="L59">
        <v>55</v>
      </c>
      <c r="M59">
        <v>28.874565999999998</v>
      </c>
      <c r="N59">
        <v>42</v>
      </c>
      <c r="O59">
        <v>10.215192399999999</v>
      </c>
      <c r="P59" s="3">
        <f t="shared" si="7"/>
        <v>11681.027010799997</v>
      </c>
      <c r="Q59" s="3">
        <f t="shared" si="8"/>
        <v>23614.968605199996</v>
      </c>
      <c r="R59">
        <v>3143000</v>
      </c>
      <c r="S59">
        <f t="shared" si="9"/>
        <v>0.75135121238307334</v>
      </c>
    </row>
    <row r="60" spans="1:19" x14ac:dyDescent="0.2">
      <c r="A60">
        <v>40000</v>
      </c>
      <c r="B60">
        <v>0</v>
      </c>
      <c r="C60">
        <v>2193.3603999999996</v>
      </c>
      <c r="D60">
        <v>0</v>
      </c>
      <c r="E60">
        <v>1089.8920199999998</v>
      </c>
      <c r="F60">
        <v>1</v>
      </c>
      <c r="G60">
        <v>437.98579999999993</v>
      </c>
      <c r="H60">
        <v>2</v>
      </c>
      <c r="I60">
        <v>199.07229999999998</v>
      </c>
      <c r="J60">
        <v>9</v>
      </c>
      <c r="K60">
        <v>79.012640000000005</v>
      </c>
      <c r="L60">
        <v>28</v>
      </c>
      <c r="M60">
        <v>28.874565999999998</v>
      </c>
      <c r="N60">
        <v>24</v>
      </c>
      <c r="O60">
        <v>10.215192399999999</v>
      </c>
      <c r="P60" s="3">
        <f t="shared" si="7"/>
        <v>2600.8966255999999</v>
      </c>
      <c r="Q60" s="3">
        <f t="shared" si="8"/>
        <v>11933.941594399999</v>
      </c>
      <c r="R60">
        <v>3143000</v>
      </c>
      <c r="S60">
        <f t="shared" si="9"/>
        <v>0.37969906440979956</v>
      </c>
    </row>
    <row r="61" spans="1:19" x14ac:dyDescent="0.2">
      <c r="A61">
        <v>50000</v>
      </c>
      <c r="B61">
        <v>0</v>
      </c>
      <c r="C61">
        <v>2193.3603999999996</v>
      </c>
      <c r="D61">
        <v>0</v>
      </c>
      <c r="E61">
        <v>1089.8920199999998</v>
      </c>
      <c r="F61">
        <v>0</v>
      </c>
      <c r="G61">
        <v>437.98579999999993</v>
      </c>
      <c r="H61">
        <v>7</v>
      </c>
      <c r="I61">
        <v>199.07229999999998</v>
      </c>
      <c r="J61">
        <v>6</v>
      </c>
      <c r="K61">
        <v>79.012640000000005</v>
      </c>
      <c r="L61">
        <v>10</v>
      </c>
      <c r="M61">
        <v>28.874565999999998</v>
      </c>
      <c r="N61">
        <v>14</v>
      </c>
      <c r="O61">
        <v>10.215192399999999</v>
      </c>
      <c r="P61" s="3">
        <f t="shared" si="7"/>
        <v>2299.3402935999998</v>
      </c>
      <c r="Q61" s="3">
        <f t="shared" si="8"/>
        <v>9333.044968799999</v>
      </c>
      <c r="R61">
        <v>3143000</v>
      </c>
      <c r="S61">
        <f t="shared" si="9"/>
        <v>0.29694702414253893</v>
      </c>
    </row>
    <row r="62" spans="1:19" x14ac:dyDescent="0.2">
      <c r="A62">
        <v>60000</v>
      </c>
      <c r="B62">
        <v>0</v>
      </c>
      <c r="C62">
        <v>2193.3603999999996</v>
      </c>
      <c r="D62">
        <v>0</v>
      </c>
      <c r="E62">
        <v>1089.8920199999998</v>
      </c>
      <c r="F62">
        <v>0</v>
      </c>
      <c r="G62">
        <v>437.98579999999993</v>
      </c>
      <c r="H62">
        <v>3</v>
      </c>
      <c r="I62">
        <v>199.07229999999998</v>
      </c>
      <c r="J62">
        <v>5</v>
      </c>
      <c r="K62">
        <v>79.012640000000005</v>
      </c>
      <c r="L62">
        <v>14</v>
      </c>
      <c r="M62">
        <v>28.874565999999998</v>
      </c>
      <c r="N62">
        <v>12</v>
      </c>
      <c r="O62">
        <v>10.215192399999999</v>
      </c>
      <c r="P62" s="3">
        <f t="shared" si="7"/>
        <v>1519.1063327999998</v>
      </c>
      <c r="Q62" s="3">
        <f t="shared" si="8"/>
        <v>7033.7046751999987</v>
      </c>
      <c r="R62">
        <v>3143000</v>
      </c>
      <c r="S62">
        <f t="shared" si="9"/>
        <v>0.22378952195991086</v>
      </c>
    </row>
    <row r="63" spans="1:19" x14ac:dyDescent="0.2">
      <c r="A63">
        <v>70000</v>
      </c>
      <c r="B63">
        <v>1</v>
      </c>
      <c r="C63">
        <v>2193.3603999999996</v>
      </c>
      <c r="D63">
        <v>0</v>
      </c>
      <c r="E63">
        <v>1089.8920199999998</v>
      </c>
      <c r="F63">
        <v>0</v>
      </c>
      <c r="G63">
        <v>437.98579999999993</v>
      </c>
      <c r="H63">
        <v>1</v>
      </c>
      <c r="I63">
        <v>199.07229999999998</v>
      </c>
      <c r="J63">
        <v>6</v>
      </c>
      <c r="K63">
        <v>79.012640000000005</v>
      </c>
      <c r="L63">
        <v>11</v>
      </c>
      <c r="M63">
        <v>28.874565999999998</v>
      </c>
      <c r="N63">
        <v>16</v>
      </c>
      <c r="O63">
        <v>10.215192399999999</v>
      </c>
      <c r="P63" s="3">
        <f t="shared" si="7"/>
        <v>3347.5718443999995</v>
      </c>
      <c r="Q63" s="3">
        <f>P64+P63</f>
        <v>5514.5983423999987</v>
      </c>
      <c r="R63">
        <v>3143000</v>
      </c>
      <c r="S63">
        <f t="shared" si="9"/>
        <v>0.17545651741648102</v>
      </c>
    </row>
    <row r="64" spans="1:19" x14ac:dyDescent="0.2">
      <c r="A64" t="s">
        <v>4</v>
      </c>
      <c r="B64">
        <v>0</v>
      </c>
      <c r="C64">
        <v>2193.3603999999996</v>
      </c>
      <c r="D64">
        <v>0</v>
      </c>
      <c r="E64">
        <v>1089.8920199999998</v>
      </c>
      <c r="F64">
        <v>1</v>
      </c>
      <c r="G64">
        <v>437.98579999999993</v>
      </c>
      <c r="H64">
        <v>3</v>
      </c>
      <c r="I64">
        <v>199.07229999999998</v>
      </c>
      <c r="J64">
        <v>8</v>
      </c>
      <c r="K64">
        <v>79.012640000000005</v>
      </c>
      <c r="L64">
        <v>12</v>
      </c>
      <c r="M64">
        <v>28.874565999999998</v>
      </c>
      <c r="N64">
        <v>15</v>
      </c>
      <c r="O64">
        <v>10.215192399999999</v>
      </c>
      <c r="P64" s="3">
        <f t="shared" si="7"/>
        <v>2167.0264979999997</v>
      </c>
      <c r="Q64" s="3">
        <f>P64</f>
        <v>2167.0264979999997</v>
      </c>
      <c r="R64">
        <v>3143000</v>
      </c>
      <c r="S64">
        <f>Q64/R64*100</f>
        <v>6.8947709131403107E-2</v>
      </c>
    </row>
    <row r="65" spans="1:21" x14ac:dyDescent="0.2">
      <c r="A65" t="s">
        <v>3</v>
      </c>
      <c r="B65">
        <v>7</v>
      </c>
      <c r="C65">
        <v>2193.3603999999996</v>
      </c>
      <c r="D65">
        <v>39</v>
      </c>
      <c r="E65">
        <v>1089.8920199999998</v>
      </c>
      <c r="F65">
        <v>137</v>
      </c>
      <c r="G65">
        <v>437.98579999999993</v>
      </c>
      <c r="H65">
        <v>429</v>
      </c>
      <c r="I65">
        <v>199.07229999999998</v>
      </c>
      <c r="J65">
        <v>958</v>
      </c>
      <c r="K65">
        <v>79.012640000000005</v>
      </c>
      <c r="L65">
        <v>1719</v>
      </c>
      <c r="M65">
        <v>28.874565999999998</v>
      </c>
      <c r="N65">
        <v>1653</v>
      </c>
      <c r="O65">
        <v>10.215192399999999</v>
      </c>
      <c r="P65" s="3">
        <f t="shared" si="7"/>
        <v>345480.58399119996</v>
      </c>
    </row>
    <row r="69" spans="1:21" ht="15" x14ac:dyDescent="0.25">
      <c r="A69" s="2" t="s">
        <v>24</v>
      </c>
    </row>
    <row r="70" spans="1:21" x14ac:dyDescent="0.2">
      <c r="G70" t="s">
        <v>25</v>
      </c>
    </row>
    <row r="72" spans="1:21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  <c r="T72" s="2"/>
      <c r="U72" s="2"/>
    </row>
    <row r="73" spans="1:21" ht="15" x14ac:dyDescent="0.25">
      <c r="A73" t="s">
        <v>4</v>
      </c>
      <c r="B73" s="14">
        <v>5.0000000000000001E-4</v>
      </c>
      <c r="C73" s="27" t="s">
        <v>87</v>
      </c>
      <c r="D73" s="5"/>
      <c r="E73" s="5"/>
      <c r="F73" s="5"/>
      <c r="G73" s="5"/>
      <c r="H73" s="5"/>
      <c r="I73" s="5"/>
      <c r="J73" s="5"/>
      <c r="K73" s="4">
        <v>2.6187510097207358</v>
      </c>
      <c r="L73" s="4">
        <v>6205.155538422433</v>
      </c>
      <c r="M73" s="7">
        <f t="shared" ref="M73:M78" si="10">POWER(B73,1/K73)</f>
        <v>5.4886302161201404E-2</v>
      </c>
      <c r="N73" s="8">
        <f t="shared" ref="N73:N78" si="11">L73/M73</f>
        <v>113054.72028700082</v>
      </c>
      <c r="O73" s="5">
        <v>3143000</v>
      </c>
      <c r="P73" s="8">
        <f>O73*(K73/(1-K73))*POWER(L73,K73)*(-1)*POWER(N73,1-K73)</f>
        <v>287420169.13763094</v>
      </c>
      <c r="Q73" s="9">
        <f t="shared" ref="Q73:Q78" si="12">B73*O73</f>
        <v>1571.5</v>
      </c>
      <c r="R73" s="4">
        <f t="shared" ref="R73:R78" si="13">P73/Q73</f>
        <v>182895.43056801206</v>
      </c>
      <c r="S73" s="3">
        <f t="shared" ref="S73:S78" si="14">21.477*P73*1.23</f>
        <v>7592695256.2597466</v>
      </c>
      <c r="T73" s="2"/>
      <c r="U73" s="10"/>
    </row>
    <row r="74" spans="1:21" ht="15" x14ac:dyDescent="0.25">
      <c r="A74" t="s">
        <v>59</v>
      </c>
      <c r="B74" s="14">
        <v>1E-3</v>
      </c>
      <c r="C74" s="5">
        <f>S64/100</f>
        <v>6.8947709131403107E-4</v>
      </c>
      <c r="D74" s="5">
        <f>S63/100</f>
        <v>1.7545651741648102E-3</v>
      </c>
      <c r="E74" s="5">
        <v>100000</v>
      </c>
      <c r="F74" s="5">
        <v>70000</v>
      </c>
      <c r="G74" s="5">
        <f>D74/C74</f>
        <v>2.5447766086337902</v>
      </c>
      <c r="H74" s="5">
        <f>LN(G74)</f>
        <v>0.93404286958164229</v>
      </c>
      <c r="I74" s="5">
        <f>E74/F74</f>
        <v>1.4285714285714286</v>
      </c>
      <c r="J74" s="5">
        <f>LN(I74)</f>
        <v>0.35667494393873239</v>
      </c>
      <c r="K74" s="4">
        <f>H74/J74</f>
        <v>2.6187510097207358</v>
      </c>
      <c r="L74" s="4">
        <f>F74*(D74^(1/K74))</f>
        <v>6205.155538422433</v>
      </c>
      <c r="M74" s="7">
        <f t="shared" si="10"/>
        <v>7.1518058501640572E-2</v>
      </c>
      <c r="N74" s="8">
        <f t="shared" si="11"/>
        <v>86763.478601423325</v>
      </c>
      <c r="O74" s="5">
        <v>3143000</v>
      </c>
      <c r="P74" s="8">
        <f>O74*(K74/(1-K74))*POWER(L74,K74)*(POWER(N73,1-K74)-POWER(N74,1-K74))+P73</f>
        <v>441159354.18324435</v>
      </c>
      <c r="Q74" s="9">
        <f t="shared" si="12"/>
        <v>3143</v>
      </c>
      <c r="R74" s="4">
        <f t="shared" si="13"/>
        <v>140362.50530806373</v>
      </c>
      <c r="S74" s="3">
        <f t="shared" si="14"/>
        <v>11653978723.246054</v>
      </c>
      <c r="T74" s="2"/>
      <c r="U74" s="10"/>
    </row>
    <row r="75" spans="1:21" ht="15" x14ac:dyDescent="0.25">
      <c r="A75" t="s">
        <v>45</v>
      </c>
      <c r="B75" s="14">
        <v>2.5000000000000001E-3</v>
      </c>
      <c r="C75" s="5">
        <v>1.9233301973387328E-3</v>
      </c>
      <c r="D75" s="5">
        <v>2.6077152117979065E-3</v>
      </c>
      <c r="E75" s="5">
        <v>60000</v>
      </c>
      <c r="F75" s="5">
        <v>50000</v>
      </c>
      <c r="G75" s="5">
        <f>D75/C75</f>
        <v>1.3558333433365426</v>
      </c>
      <c r="H75" s="5">
        <f>LN(G75)</f>
        <v>0.30441627882085087</v>
      </c>
      <c r="I75" s="5">
        <f>E75/F75</f>
        <v>1.2</v>
      </c>
      <c r="J75" s="5">
        <f>LN(I75)</f>
        <v>0.18232155679395459</v>
      </c>
      <c r="K75" s="4">
        <f>H75/J75</f>
        <v>1.6696669564141451</v>
      </c>
      <c r="L75" s="4">
        <f>F75*(D75^(1/K75))</f>
        <v>1417.4632057812794</v>
      </c>
      <c r="M75" s="7">
        <f t="shared" si="10"/>
        <v>2.7641999267135457E-2</v>
      </c>
      <c r="N75" s="8">
        <f t="shared" si="11"/>
        <v>51279.330126694244</v>
      </c>
      <c r="O75" s="5">
        <v>3143000</v>
      </c>
      <c r="P75" s="8">
        <f>O75*(K75/(1-K75))*POWER(L75,K75)*(POWER(N74,1-K75)-POWER(N75,1-K75))+P74</f>
        <v>739371974.54999804</v>
      </c>
      <c r="Q75" s="9">
        <f t="shared" si="12"/>
        <v>7857.5</v>
      </c>
      <c r="R75" s="4">
        <f t="shared" si="13"/>
        <v>94097.610505885852</v>
      </c>
      <c r="S75" s="3">
        <f t="shared" si="14"/>
        <v>19531775033.814678</v>
      </c>
      <c r="T75" s="2"/>
      <c r="U75" s="10"/>
    </row>
    <row r="76" spans="1:21" ht="15" x14ac:dyDescent="0.25">
      <c r="A76" t="s">
        <v>46</v>
      </c>
      <c r="B76" s="14">
        <v>5.0000000000000001E-3</v>
      </c>
      <c r="C76" s="5">
        <v>4.6293769678004337E-3</v>
      </c>
      <c r="D76" s="5">
        <v>8.4661941931655129E-3</v>
      </c>
      <c r="E76" s="5">
        <v>40000</v>
      </c>
      <c r="F76" s="5">
        <v>30000</v>
      </c>
      <c r="G76" s="5">
        <f>D76/C76</f>
        <v>1.82879775227898</v>
      </c>
      <c r="H76" s="5">
        <f>LN(G76)</f>
        <v>0.60365878498885461</v>
      </c>
      <c r="I76" s="5">
        <f>E76/F76</f>
        <v>1.3333333333333333</v>
      </c>
      <c r="J76" s="5">
        <f>LN(I76)</f>
        <v>0.28768207245178085</v>
      </c>
      <c r="K76" s="4">
        <f>H76/J76</f>
        <v>2.0983538523765168</v>
      </c>
      <c r="L76" s="4">
        <f>F76*(D76^(1/K76))</f>
        <v>3086.9669006341405</v>
      </c>
      <c r="M76" s="7">
        <f t="shared" si="10"/>
        <v>8.0059308992296033E-2</v>
      </c>
      <c r="N76" s="8">
        <f t="shared" si="11"/>
        <v>38558.500435360911</v>
      </c>
      <c r="O76" s="5">
        <v>3143000</v>
      </c>
      <c r="P76" s="8">
        <f>O76*(K76/(1-K76))*POWER(L76,K76)*(POWER(N75,1-K76)-POWER(N76,1-K76))+P75</f>
        <v>1050615462.1250807</v>
      </c>
      <c r="Q76" s="9">
        <f t="shared" si="12"/>
        <v>15715</v>
      </c>
      <c r="R76" s="4">
        <f t="shared" si="13"/>
        <v>66854.308757561608</v>
      </c>
      <c r="S76" s="3">
        <f t="shared" si="14"/>
        <v>27753803984.474243</v>
      </c>
      <c r="T76" s="2"/>
      <c r="U76" s="10"/>
    </row>
    <row r="77" spans="1:21" ht="15" x14ac:dyDescent="0.25">
      <c r="A77" t="s">
        <v>47</v>
      </c>
      <c r="B77" s="14">
        <v>0.01</v>
      </c>
      <c r="C77" s="5">
        <f>S59/100</f>
        <v>7.5135121238307338E-3</v>
      </c>
      <c r="D77" s="5">
        <f>S58/100</f>
        <v>1.0119696271714919E-2</v>
      </c>
      <c r="E77" s="5">
        <v>30000</v>
      </c>
      <c r="F77" s="5">
        <v>25000</v>
      </c>
      <c r="G77" s="5">
        <f>D77/C77</f>
        <v>1.3468662996653864</v>
      </c>
      <c r="H77" s="5">
        <f>LN(G77)</f>
        <v>0.29778063464392318</v>
      </c>
      <c r="I77" s="5">
        <f>E77/F77</f>
        <v>1.2</v>
      </c>
      <c r="J77" s="5">
        <f>LN(I77)</f>
        <v>0.18232155679395459</v>
      </c>
      <c r="K77" s="4">
        <f>H77/J77</f>
        <v>1.6332716760446013</v>
      </c>
      <c r="L77" s="4">
        <f>F77*(D77^(1/K77))</f>
        <v>1501.6470551958448</v>
      </c>
      <c r="M77" s="7">
        <f t="shared" si="10"/>
        <v>5.9629885940219396E-2</v>
      </c>
      <c r="N77" s="8">
        <f t="shared" si="11"/>
        <v>25182.792680524115</v>
      </c>
      <c r="O77" s="5">
        <v>3143000</v>
      </c>
      <c r="P77" s="8">
        <f>O77*(K77/(1-K77))*POWER(L77,K77)*(POWER(N76,1-K77)-POWER(N77,1-K77))+P76</f>
        <v>1533302613.3517234</v>
      </c>
      <c r="Q77" s="9">
        <f t="shared" si="12"/>
        <v>31430</v>
      </c>
      <c r="R77" s="4">
        <f t="shared" si="13"/>
        <v>48784.683848289002</v>
      </c>
      <c r="S77" s="3">
        <f t="shared" si="14"/>
        <v>40504810479.154602</v>
      </c>
      <c r="T77" s="2"/>
      <c r="U77" s="10"/>
    </row>
    <row r="78" spans="1:21" ht="15" x14ac:dyDescent="0.25">
      <c r="A78" t="s">
        <v>48</v>
      </c>
      <c r="B78" s="14">
        <v>0.02</v>
      </c>
      <c r="C78" s="5">
        <f>S57/100</f>
        <v>1.4619889770155901E-2</v>
      </c>
      <c r="D78" s="5">
        <f>S56/100</f>
        <v>2.1927136642316256E-2</v>
      </c>
      <c r="E78" s="5">
        <v>20000</v>
      </c>
      <c r="F78" s="5">
        <v>15000</v>
      </c>
      <c r="G78" s="5">
        <f>D78/C78</f>
        <v>1.4998154560013781</v>
      </c>
      <c r="H78" s="5">
        <f>LN(G78)</f>
        <v>0.4053420712070207</v>
      </c>
      <c r="I78" s="5">
        <f>E78/F78</f>
        <v>1.3333333333333333</v>
      </c>
      <c r="J78" s="5">
        <f>LN(I78)</f>
        <v>0.28768207245178085</v>
      </c>
      <c r="K78" s="4">
        <f>H78/J78</f>
        <v>1.4089931560645343</v>
      </c>
      <c r="L78" s="4">
        <f>F78*(D78^(1/K78))</f>
        <v>996.87776234305966</v>
      </c>
      <c r="M78" s="7">
        <f t="shared" si="10"/>
        <v>6.225807687144732E-2</v>
      </c>
      <c r="N78" s="8">
        <f t="shared" si="11"/>
        <v>16012.02305688703</v>
      </c>
      <c r="O78" s="5">
        <v>3143000</v>
      </c>
      <c r="P78" s="8">
        <f>O78*(K78/(1-K78))*POWER(L78,K78)*(POWER(N77,1-K78)-POWER(N78,1-K78))+P77</f>
        <v>2119522761.0428212</v>
      </c>
      <c r="Q78" s="9">
        <f t="shared" si="12"/>
        <v>62860</v>
      </c>
      <c r="R78" s="4">
        <f t="shared" si="13"/>
        <v>33718.147646242782</v>
      </c>
      <c r="S78" s="3">
        <f t="shared" si="14"/>
        <v>55990818116.867508</v>
      </c>
      <c r="T78" s="2"/>
      <c r="U78" s="10"/>
    </row>
    <row r="81" spans="1:19" ht="15" x14ac:dyDescent="0.25">
      <c r="A81" s="15" t="s">
        <v>60</v>
      </c>
      <c r="B81" s="16"/>
      <c r="S81">
        <f>1.23*21.477*26600000000</f>
        <v>702684486000</v>
      </c>
    </row>
    <row r="82" spans="1:19" ht="15" x14ac:dyDescent="0.25">
      <c r="A82" s="2" t="s">
        <v>61</v>
      </c>
    </row>
    <row r="84" spans="1:19" ht="15" x14ac:dyDescent="0.25">
      <c r="A84" s="2" t="s">
        <v>27</v>
      </c>
      <c r="B84" s="2" t="s">
        <v>62</v>
      </c>
      <c r="C84" s="2" t="s">
        <v>85</v>
      </c>
      <c r="D84" s="17"/>
      <c r="E84" s="17"/>
      <c r="F84" s="2" t="s">
        <v>63</v>
      </c>
    </row>
    <row r="85" spans="1:19" ht="15" x14ac:dyDescent="0.25">
      <c r="A85" s="18">
        <v>5.0000000000000001E-4</v>
      </c>
      <c r="B85" s="3">
        <f t="shared" ref="B85:B90" si="15">S32+S73</f>
        <v>15635894445.833393</v>
      </c>
      <c r="C85">
        <f t="shared" ref="C85:C90" si="16">729500000000*1.23</f>
        <v>897285000000</v>
      </c>
      <c r="F85" s="10">
        <f t="shared" ref="F85:F90" si="17">B85/C85*100</f>
        <v>1.7425783832152986</v>
      </c>
    </row>
    <row r="86" spans="1:19" ht="15" x14ac:dyDescent="0.25">
      <c r="A86" s="18">
        <v>1E-3</v>
      </c>
      <c r="B86" s="3">
        <f t="shared" si="15"/>
        <v>23013561798.977005</v>
      </c>
      <c r="C86">
        <f t="shared" si="16"/>
        <v>897285000000</v>
      </c>
      <c r="F86" s="10">
        <f t="shared" si="17"/>
        <v>2.5647995674704251</v>
      </c>
    </row>
    <row r="87" spans="1:19" ht="15" x14ac:dyDescent="0.25">
      <c r="A87" s="18">
        <v>2.5000000000000001E-3</v>
      </c>
      <c r="B87" s="3">
        <f t="shared" si="15"/>
        <v>23761583104.496006</v>
      </c>
      <c r="C87">
        <f t="shared" si="16"/>
        <v>897285000000</v>
      </c>
      <c r="F87" s="10">
        <f t="shared" si="17"/>
        <v>2.6481645301655554</v>
      </c>
    </row>
    <row r="88" spans="1:19" ht="15" x14ac:dyDescent="0.25">
      <c r="A88" s="18">
        <v>5.0000000000000001E-3</v>
      </c>
      <c r="B88" s="3">
        <f t="shared" si="15"/>
        <v>49249304217.089859</v>
      </c>
      <c r="C88">
        <f t="shared" si="16"/>
        <v>897285000000</v>
      </c>
      <c r="F88" s="10">
        <f t="shared" si="17"/>
        <v>5.4887024988816107</v>
      </c>
    </row>
    <row r="89" spans="1:19" ht="15" x14ac:dyDescent="0.25">
      <c r="A89" s="19">
        <v>0.01</v>
      </c>
      <c r="B89" s="3">
        <f t="shared" si="15"/>
        <v>83552111304.078186</v>
      </c>
      <c r="C89">
        <f t="shared" si="16"/>
        <v>897285000000</v>
      </c>
      <c r="F89" s="10">
        <f t="shared" si="17"/>
        <v>9.3116580912506262</v>
      </c>
    </row>
    <row r="90" spans="1:19" ht="15" x14ac:dyDescent="0.25">
      <c r="A90" s="19">
        <v>0.02</v>
      </c>
      <c r="B90" s="3">
        <f t="shared" si="15"/>
        <v>124524977413.70081</v>
      </c>
      <c r="C90">
        <f t="shared" si="16"/>
        <v>897285000000</v>
      </c>
      <c r="F90" s="10">
        <f t="shared" si="17"/>
        <v>13.877973822553683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topLeftCell="A59" zoomScale="80" zoomScaleNormal="80" workbookViewId="0">
      <selection activeCell="P33" sqref="P33"/>
    </sheetView>
  </sheetViews>
  <sheetFormatPr defaultRowHeight="12.75" x14ac:dyDescent="0.2"/>
  <cols>
    <col min="1" max="1" width="14.28515625" customWidth="1"/>
    <col min="2" max="2" width="27.42578125" customWidth="1"/>
    <col min="3" max="3" width="13.5703125" customWidth="1"/>
    <col min="5" max="5" width="12.140625" customWidth="1"/>
    <col min="6" max="6" width="10.85546875" customWidth="1"/>
    <col min="7" max="7" width="14.28515625" customWidth="1"/>
    <col min="9" max="9" width="13.42578125" customWidth="1"/>
    <col min="11" max="11" width="15.5703125" customWidth="1"/>
    <col min="13" max="13" width="15" customWidth="1"/>
    <col min="14" max="14" width="13.7109375" customWidth="1"/>
    <col min="15" max="15" width="22.140625" customWidth="1"/>
    <col min="16" max="16" width="22.7109375" customWidth="1"/>
    <col min="17" max="17" width="25.140625" customWidth="1"/>
    <col min="18" max="18" width="14.5703125" customWidth="1"/>
    <col min="19" max="19" width="18.85546875" customWidth="1"/>
    <col min="20" max="20" width="16.5703125" customWidth="1"/>
    <col min="257" max="257" width="14.28515625" customWidth="1"/>
    <col min="258" max="258" width="27.42578125" customWidth="1"/>
    <col min="259" max="259" width="13.5703125" customWidth="1"/>
    <col min="261" max="261" width="12.140625" customWidth="1"/>
    <col min="262" max="262" width="10.85546875" customWidth="1"/>
    <col min="263" max="263" width="14.28515625" customWidth="1"/>
    <col min="265" max="265" width="13.42578125" customWidth="1"/>
    <col min="267" max="267" width="15.5703125" customWidth="1"/>
    <col min="269" max="269" width="15" customWidth="1"/>
    <col min="270" max="270" width="13.7109375" customWidth="1"/>
    <col min="271" max="271" width="22.140625" customWidth="1"/>
    <col min="272" max="272" width="22.7109375" customWidth="1"/>
    <col min="273" max="273" width="25.140625" customWidth="1"/>
    <col min="274" max="274" width="14.5703125" customWidth="1"/>
    <col min="275" max="275" width="18.85546875" customWidth="1"/>
    <col min="276" max="276" width="16.5703125" customWidth="1"/>
    <col min="513" max="513" width="14.28515625" customWidth="1"/>
    <col min="514" max="514" width="27.42578125" customWidth="1"/>
    <col min="515" max="515" width="13.5703125" customWidth="1"/>
    <col min="517" max="517" width="12.140625" customWidth="1"/>
    <col min="518" max="518" width="10.85546875" customWidth="1"/>
    <col min="519" max="519" width="14.28515625" customWidth="1"/>
    <col min="521" max="521" width="13.42578125" customWidth="1"/>
    <col min="523" max="523" width="15.5703125" customWidth="1"/>
    <col min="525" max="525" width="15" customWidth="1"/>
    <col min="526" max="526" width="13.7109375" customWidth="1"/>
    <col min="527" max="527" width="22.140625" customWidth="1"/>
    <col min="528" max="528" width="22.7109375" customWidth="1"/>
    <col min="529" max="529" width="25.140625" customWidth="1"/>
    <col min="530" max="530" width="14.5703125" customWidth="1"/>
    <col min="531" max="531" width="18.85546875" customWidth="1"/>
    <col min="532" max="532" width="16.5703125" customWidth="1"/>
    <col min="769" max="769" width="14.28515625" customWidth="1"/>
    <col min="770" max="770" width="27.42578125" customWidth="1"/>
    <col min="771" max="771" width="13.5703125" customWidth="1"/>
    <col min="773" max="773" width="12.140625" customWidth="1"/>
    <col min="774" max="774" width="10.85546875" customWidth="1"/>
    <col min="775" max="775" width="14.28515625" customWidth="1"/>
    <col min="777" max="777" width="13.42578125" customWidth="1"/>
    <col min="779" max="779" width="15.5703125" customWidth="1"/>
    <col min="781" max="781" width="15" customWidth="1"/>
    <col min="782" max="782" width="13.7109375" customWidth="1"/>
    <col min="783" max="783" width="22.140625" customWidth="1"/>
    <col min="784" max="784" width="22.7109375" customWidth="1"/>
    <col min="785" max="785" width="25.140625" customWidth="1"/>
    <col min="786" max="786" width="14.5703125" customWidth="1"/>
    <col min="787" max="787" width="18.85546875" customWidth="1"/>
    <col min="788" max="788" width="16.5703125" customWidth="1"/>
    <col min="1025" max="1025" width="14.28515625" customWidth="1"/>
    <col min="1026" max="1026" width="27.42578125" customWidth="1"/>
    <col min="1027" max="1027" width="13.5703125" customWidth="1"/>
    <col min="1029" max="1029" width="12.140625" customWidth="1"/>
    <col min="1030" max="1030" width="10.85546875" customWidth="1"/>
    <col min="1031" max="1031" width="14.28515625" customWidth="1"/>
    <col min="1033" max="1033" width="13.42578125" customWidth="1"/>
    <col min="1035" max="1035" width="15.5703125" customWidth="1"/>
    <col min="1037" max="1037" width="15" customWidth="1"/>
    <col min="1038" max="1038" width="13.7109375" customWidth="1"/>
    <col min="1039" max="1039" width="22.140625" customWidth="1"/>
    <col min="1040" max="1040" width="22.7109375" customWidth="1"/>
    <col min="1041" max="1041" width="25.140625" customWidth="1"/>
    <col min="1042" max="1042" width="14.5703125" customWidth="1"/>
    <col min="1043" max="1043" width="18.85546875" customWidth="1"/>
    <col min="1044" max="1044" width="16.5703125" customWidth="1"/>
    <col min="1281" max="1281" width="14.28515625" customWidth="1"/>
    <col min="1282" max="1282" width="27.42578125" customWidth="1"/>
    <col min="1283" max="1283" width="13.5703125" customWidth="1"/>
    <col min="1285" max="1285" width="12.140625" customWidth="1"/>
    <col min="1286" max="1286" width="10.85546875" customWidth="1"/>
    <col min="1287" max="1287" width="14.28515625" customWidth="1"/>
    <col min="1289" max="1289" width="13.42578125" customWidth="1"/>
    <col min="1291" max="1291" width="15.5703125" customWidth="1"/>
    <col min="1293" max="1293" width="15" customWidth="1"/>
    <col min="1294" max="1294" width="13.7109375" customWidth="1"/>
    <col min="1295" max="1295" width="22.140625" customWidth="1"/>
    <col min="1296" max="1296" width="22.7109375" customWidth="1"/>
    <col min="1297" max="1297" width="25.140625" customWidth="1"/>
    <col min="1298" max="1298" width="14.5703125" customWidth="1"/>
    <col min="1299" max="1299" width="18.85546875" customWidth="1"/>
    <col min="1300" max="1300" width="16.5703125" customWidth="1"/>
    <col min="1537" max="1537" width="14.28515625" customWidth="1"/>
    <col min="1538" max="1538" width="27.42578125" customWidth="1"/>
    <col min="1539" max="1539" width="13.5703125" customWidth="1"/>
    <col min="1541" max="1541" width="12.140625" customWidth="1"/>
    <col min="1542" max="1542" width="10.85546875" customWidth="1"/>
    <col min="1543" max="1543" width="14.28515625" customWidth="1"/>
    <col min="1545" max="1545" width="13.42578125" customWidth="1"/>
    <col min="1547" max="1547" width="15.5703125" customWidth="1"/>
    <col min="1549" max="1549" width="15" customWidth="1"/>
    <col min="1550" max="1550" width="13.7109375" customWidth="1"/>
    <col min="1551" max="1551" width="22.140625" customWidth="1"/>
    <col min="1552" max="1552" width="22.7109375" customWidth="1"/>
    <col min="1553" max="1553" width="25.140625" customWidth="1"/>
    <col min="1554" max="1554" width="14.5703125" customWidth="1"/>
    <col min="1555" max="1555" width="18.85546875" customWidth="1"/>
    <col min="1556" max="1556" width="16.5703125" customWidth="1"/>
    <col min="1793" max="1793" width="14.28515625" customWidth="1"/>
    <col min="1794" max="1794" width="27.42578125" customWidth="1"/>
    <col min="1795" max="1795" width="13.5703125" customWidth="1"/>
    <col min="1797" max="1797" width="12.140625" customWidth="1"/>
    <col min="1798" max="1798" width="10.85546875" customWidth="1"/>
    <col min="1799" max="1799" width="14.28515625" customWidth="1"/>
    <col min="1801" max="1801" width="13.42578125" customWidth="1"/>
    <col min="1803" max="1803" width="15.5703125" customWidth="1"/>
    <col min="1805" max="1805" width="15" customWidth="1"/>
    <col min="1806" max="1806" width="13.7109375" customWidth="1"/>
    <col min="1807" max="1807" width="22.140625" customWidth="1"/>
    <col min="1808" max="1808" width="22.7109375" customWidth="1"/>
    <col min="1809" max="1809" width="25.140625" customWidth="1"/>
    <col min="1810" max="1810" width="14.5703125" customWidth="1"/>
    <col min="1811" max="1811" width="18.85546875" customWidth="1"/>
    <col min="1812" max="1812" width="16.5703125" customWidth="1"/>
    <col min="2049" max="2049" width="14.28515625" customWidth="1"/>
    <col min="2050" max="2050" width="27.42578125" customWidth="1"/>
    <col min="2051" max="2051" width="13.5703125" customWidth="1"/>
    <col min="2053" max="2053" width="12.140625" customWidth="1"/>
    <col min="2054" max="2054" width="10.85546875" customWidth="1"/>
    <col min="2055" max="2055" width="14.28515625" customWidth="1"/>
    <col min="2057" max="2057" width="13.42578125" customWidth="1"/>
    <col min="2059" max="2059" width="15.5703125" customWidth="1"/>
    <col min="2061" max="2061" width="15" customWidth="1"/>
    <col min="2062" max="2062" width="13.7109375" customWidth="1"/>
    <col min="2063" max="2063" width="22.140625" customWidth="1"/>
    <col min="2064" max="2064" width="22.7109375" customWidth="1"/>
    <col min="2065" max="2065" width="25.140625" customWidth="1"/>
    <col min="2066" max="2066" width="14.5703125" customWidth="1"/>
    <col min="2067" max="2067" width="18.85546875" customWidth="1"/>
    <col min="2068" max="2068" width="16.5703125" customWidth="1"/>
    <col min="2305" max="2305" width="14.28515625" customWidth="1"/>
    <col min="2306" max="2306" width="27.42578125" customWidth="1"/>
    <col min="2307" max="2307" width="13.5703125" customWidth="1"/>
    <col min="2309" max="2309" width="12.140625" customWidth="1"/>
    <col min="2310" max="2310" width="10.85546875" customWidth="1"/>
    <col min="2311" max="2311" width="14.28515625" customWidth="1"/>
    <col min="2313" max="2313" width="13.42578125" customWidth="1"/>
    <col min="2315" max="2315" width="15.5703125" customWidth="1"/>
    <col min="2317" max="2317" width="15" customWidth="1"/>
    <col min="2318" max="2318" width="13.7109375" customWidth="1"/>
    <col min="2319" max="2319" width="22.140625" customWidth="1"/>
    <col min="2320" max="2320" width="22.7109375" customWidth="1"/>
    <col min="2321" max="2321" width="25.140625" customWidth="1"/>
    <col min="2322" max="2322" width="14.5703125" customWidth="1"/>
    <col min="2323" max="2323" width="18.85546875" customWidth="1"/>
    <col min="2324" max="2324" width="16.5703125" customWidth="1"/>
    <col min="2561" max="2561" width="14.28515625" customWidth="1"/>
    <col min="2562" max="2562" width="27.42578125" customWidth="1"/>
    <col min="2563" max="2563" width="13.5703125" customWidth="1"/>
    <col min="2565" max="2565" width="12.140625" customWidth="1"/>
    <col min="2566" max="2566" width="10.85546875" customWidth="1"/>
    <col min="2567" max="2567" width="14.28515625" customWidth="1"/>
    <col min="2569" max="2569" width="13.42578125" customWidth="1"/>
    <col min="2571" max="2571" width="15.5703125" customWidth="1"/>
    <col min="2573" max="2573" width="15" customWidth="1"/>
    <col min="2574" max="2574" width="13.7109375" customWidth="1"/>
    <col min="2575" max="2575" width="22.140625" customWidth="1"/>
    <col min="2576" max="2576" width="22.7109375" customWidth="1"/>
    <col min="2577" max="2577" width="25.140625" customWidth="1"/>
    <col min="2578" max="2578" width="14.5703125" customWidth="1"/>
    <col min="2579" max="2579" width="18.85546875" customWidth="1"/>
    <col min="2580" max="2580" width="16.5703125" customWidth="1"/>
    <col min="2817" max="2817" width="14.28515625" customWidth="1"/>
    <col min="2818" max="2818" width="27.42578125" customWidth="1"/>
    <col min="2819" max="2819" width="13.5703125" customWidth="1"/>
    <col min="2821" max="2821" width="12.140625" customWidth="1"/>
    <col min="2822" max="2822" width="10.85546875" customWidth="1"/>
    <col min="2823" max="2823" width="14.28515625" customWidth="1"/>
    <col min="2825" max="2825" width="13.42578125" customWidth="1"/>
    <col min="2827" max="2827" width="15.5703125" customWidth="1"/>
    <col min="2829" max="2829" width="15" customWidth="1"/>
    <col min="2830" max="2830" width="13.7109375" customWidth="1"/>
    <col min="2831" max="2831" width="22.140625" customWidth="1"/>
    <col min="2832" max="2832" width="22.7109375" customWidth="1"/>
    <col min="2833" max="2833" width="25.140625" customWidth="1"/>
    <col min="2834" max="2834" width="14.5703125" customWidth="1"/>
    <col min="2835" max="2835" width="18.85546875" customWidth="1"/>
    <col min="2836" max="2836" width="16.5703125" customWidth="1"/>
    <col min="3073" max="3073" width="14.28515625" customWidth="1"/>
    <col min="3074" max="3074" width="27.42578125" customWidth="1"/>
    <col min="3075" max="3075" width="13.5703125" customWidth="1"/>
    <col min="3077" max="3077" width="12.140625" customWidth="1"/>
    <col min="3078" max="3078" width="10.85546875" customWidth="1"/>
    <col min="3079" max="3079" width="14.28515625" customWidth="1"/>
    <col min="3081" max="3081" width="13.42578125" customWidth="1"/>
    <col min="3083" max="3083" width="15.5703125" customWidth="1"/>
    <col min="3085" max="3085" width="15" customWidth="1"/>
    <col min="3086" max="3086" width="13.7109375" customWidth="1"/>
    <col min="3087" max="3087" width="22.140625" customWidth="1"/>
    <col min="3088" max="3088" width="22.7109375" customWidth="1"/>
    <col min="3089" max="3089" width="25.140625" customWidth="1"/>
    <col min="3090" max="3090" width="14.5703125" customWidth="1"/>
    <col min="3091" max="3091" width="18.85546875" customWidth="1"/>
    <col min="3092" max="3092" width="16.5703125" customWidth="1"/>
    <col min="3329" max="3329" width="14.28515625" customWidth="1"/>
    <col min="3330" max="3330" width="27.42578125" customWidth="1"/>
    <col min="3331" max="3331" width="13.5703125" customWidth="1"/>
    <col min="3333" max="3333" width="12.140625" customWidth="1"/>
    <col min="3334" max="3334" width="10.85546875" customWidth="1"/>
    <col min="3335" max="3335" width="14.28515625" customWidth="1"/>
    <col min="3337" max="3337" width="13.42578125" customWidth="1"/>
    <col min="3339" max="3339" width="15.5703125" customWidth="1"/>
    <col min="3341" max="3341" width="15" customWidth="1"/>
    <col min="3342" max="3342" width="13.7109375" customWidth="1"/>
    <col min="3343" max="3343" width="22.140625" customWidth="1"/>
    <col min="3344" max="3344" width="22.7109375" customWidth="1"/>
    <col min="3345" max="3345" width="25.140625" customWidth="1"/>
    <col min="3346" max="3346" width="14.5703125" customWidth="1"/>
    <col min="3347" max="3347" width="18.85546875" customWidth="1"/>
    <col min="3348" max="3348" width="16.5703125" customWidth="1"/>
    <col min="3585" max="3585" width="14.28515625" customWidth="1"/>
    <col min="3586" max="3586" width="27.42578125" customWidth="1"/>
    <col min="3587" max="3587" width="13.5703125" customWidth="1"/>
    <col min="3589" max="3589" width="12.140625" customWidth="1"/>
    <col min="3590" max="3590" width="10.85546875" customWidth="1"/>
    <col min="3591" max="3591" width="14.28515625" customWidth="1"/>
    <col min="3593" max="3593" width="13.42578125" customWidth="1"/>
    <col min="3595" max="3595" width="15.5703125" customWidth="1"/>
    <col min="3597" max="3597" width="15" customWidth="1"/>
    <col min="3598" max="3598" width="13.7109375" customWidth="1"/>
    <col min="3599" max="3599" width="22.140625" customWidth="1"/>
    <col min="3600" max="3600" width="22.7109375" customWidth="1"/>
    <col min="3601" max="3601" width="25.140625" customWidth="1"/>
    <col min="3602" max="3602" width="14.5703125" customWidth="1"/>
    <col min="3603" max="3603" width="18.85546875" customWidth="1"/>
    <col min="3604" max="3604" width="16.5703125" customWidth="1"/>
    <col min="3841" max="3841" width="14.28515625" customWidth="1"/>
    <col min="3842" max="3842" width="27.42578125" customWidth="1"/>
    <col min="3843" max="3843" width="13.5703125" customWidth="1"/>
    <col min="3845" max="3845" width="12.140625" customWidth="1"/>
    <col min="3846" max="3846" width="10.85546875" customWidth="1"/>
    <col min="3847" max="3847" width="14.28515625" customWidth="1"/>
    <col min="3849" max="3849" width="13.42578125" customWidth="1"/>
    <col min="3851" max="3851" width="15.5703125" customWidth="1"/>
    <col min="3853" max="3853" width="15" customWidth="1"/>
    <col min="3854" max="3854" width="13.7109375" customWidth="1"/>
    <col min="3855" max="3855" width="22.140625" customWidth="1"/>
    <col min="3856" max="3856" width="22.7109375" customWidth="1"/>
    <col min="3857" max="3857" width="25.140625" customWidth="1"/>
    <col min="3858" max="3858" width="14.5703125" customWidth="1"/>
    <col min="3859" max="3859" width="18.85546875" customWidth="1"/>
    <col min="3860" max="3860" width="16.5703125" customWidth="1"/>
    <col min="4097" max="4097" width="14.28515625" customWidth="1"/>
    <col min="4098" max="4098" width="27.42578125" customWidth="1"/>
    <col min="4099" max="4099" width="13.5703125" customWidth="1"/>
    <col min="4101" max="4101" width="12.140625" customWidth="1"/>
    <col min="4102" max="4102" width="10.85546875" customWidth="1"/>
    <col min="4103" max="4103" width="14.28515625" customWidth="1"/>
    <col min="4105" max="4105" width="13.42578125" customWidth="1"/>
    <col min="4107" max="4107" width="15.5703125" customWidth="1"/>
    <col min="4109" max="4109" width="15" customWidth="1"/>
    <col min="4110" max="4110" width="13.7109375" customWidth="1"/>
    <col min="4111" max="4111" width="22.140625" customWidth="1"/>
    <col min="4112" max="4112" width="22.7109375" customWidth="1"/>
    <col min="4113" max="4113" width="25.140625" customWidth="1"/>
    <col min="4114" max="4114" width="14.5703125" customWidth="1"/>
    <col min="4115" max="4115" width="18.85546875" customWidth="1"/>
    <col min="4116" max="4116" width="16.5703125" customWidth="1"/>
    <col min="4353" max="4353" width="14.28515625" customWidth="1"/>
    <col min="4354" max="4354" width="27.42578125" customWidth="1"/>
    <col min="4355" max="4355" width="13.5703125" customWidth="1"/>
    <col min="4357" max="4357" width="12.140625" customWidth="1"/>
    <col min="4358" max="4358" width="10.85546875" customWidth="1"/>
    <col min="4359" max="4359" width="14.28515625" customWidth="1"/>
    <col min="4361" max="4361" width="13.42578125" customWidth="1"/>
    <col min="4363" max="4363" width="15.5703125" customWidth="1"/>
    <col min="4365" max="4365" width="15" customWidth="1"/>
    <col min="4366" max="4366" width="13.7109375" customWidth="1"/>
    <col min="4367" max="4367" width="22.140625" customWidth="1"/>
    <col min="4368" max="4368" width="22.7109375" customWidth="1"/>
    <col min="4369" max="4369" width="25.140625" customWidth="1"/>
    <col min="4370" max="4370" width="14.5703125" customWidth="1"/>
    <col min="4371" max="4371" width="18.85546875" customWidth="1"/>
    <col min="4372" max="4372" width="16.5703125" customWidth="1"/>
    <col min="4609" max="4609" width="14.28515625" customWidth="1"/>
    <col min="4610" max="4610" width="27.42578125" customWidth="1"/>
    <col min="4611" max="4611" width="13.5703125" customWidth="1"/>
    <col min="4613" max="4613" width="12.140625" customWidth="1"/>
    <col min="4614" max="4614" width="10.85546875" customWidth="1"/>
    <col min="4615" max="4615" width="14.28515625" customWidth="1"/>
    <col min="4617" max="4617" width="13.42578125" customWidth="1"/>
    <col min="4619" max="4619" width="15.5703125" customWidth="1"/>
    <col min="4621" max="4621" width="15" customWidth="1"/>
    <col min="4622" max="4622" width="13.7109375" customWidth="1"/>
    <col min="4623" max="4623" width="22.140625" customWidth="1"/>
    <col min="4624" max="4624" width="22.7109375" customWidth="1"/>
    <col min="4625" max="4625" width="25.140625" customWidth="1"/>
    <col min="4626" max="4626" width="14.5703125" customWidth="1"/>
    <col min="4627" max="4627" width="18.85546875" customWidth="1"/>
    <col min="4628" max="4628" width="16.5703125" customWidth="1"/>
    <col min="4865" max="4865" width="14.28515625" customWidth="1"/>
    <col min="4866" max="4866" width="27.42578125" customWidth="1"/>
    <col min="4867" max="4867" width="13.5703125" customWidth="1"/>
    <col min="4869" max="4869" width="12.140625" customWidth="1"/>
    <col min="4870" max="4870" width="10.85546875" customWidth="1"/>
    <col min="4871" max="4871" width="14.28515625" customWidth="1"/>
    <col min="4873" max="4873" width="13.42578125" customWidth="1"/>
    <col min="4875" max="4875" width="15.5703125" customWidth="1"/>
    <col min="4877" max="4877" width="15" customWidth="1"/>
    <col min="4878" max="4878" width="13.7109375" customWidth="1"/>
    <col min="4879" max="4879" width="22.140625" customWidth="1"/>
    <col min="4880" max="4880" width="22.7109375" customWidth="1"/>
    <col min="4881" max="4881" width="25.140625" customWidth="1"/>
    <col min="4882" max="4882" width="14.5703125" customWidth="1"/>
    <col min="4883" max="4883" width="18.85546875" customWidth="1"/>
    <col min="4884" max="4884" width="16.5703125" customWidth="1"/>
    <col min="5121" max="5121" width="14.28515625" customWidth="1"/>
    <col min="5122" max="5122" width="27.42578125" customWidth="1"/>
    <col min="5123" max="5123" width="13.5703125" customWidth="1"/>
    <col min="5125" max="5125" width="12.140625" customWidth="1"/>
    <col min="5126" max="5126" width="10.85546875" customWidth="1"/>
    <col min="5127" max="5127" width="14.28515625" customWidth="1"/>
    <col min="5129" max="5129" width="13.42578125" customWidth="1"/>
    <col min="5131" max="5131" width="15.5703125" customWidth="1"/>
    <col min="5133" max="5133" width="15" customWidth="1"/>
    <col min="5134" max="5134" width="13.7109375" customWidth="1"/>
    <col min="5135" max="5135" width="22.140625" customWidth="1"/>
    <col min="5136" max="5136" width="22.7109375" customWidth="1"/>
    <col min="5137" max="5137" width="25.140625" customWidth="1"/>
    <col min="5138" max="5138" width="14.5703125" customWidth="1"/>
    <col min="5139" max="5139" width="18.85546875" customWidth="1"/>
    <col min="5140" max="5140" width="16.5703125" customWidth="1"/>
    <col min="5377" max="5377" width="14.28515625" customWidth="1"/>
    <col min="5378" max="5378" width="27.42578125" customWidth="1"/>
    <col min="5379" max="5379" width="13.5703125" customWidth="1"/>
    <col min="5381" max="5381" width="12.140625" customWidth="1"/>
    <col min="5382" max="5382" width="10.85546875" customWidth="1"/>
    <col min="5383" max="5383" width="14.28515625" customWidth="1"/>
    <col min="5385" max="5385" width="13.42578125" customWidth="1"/>
    <col min="5387" max="5387" width="15.5703125" customWidth="1"/>
    <col min="5389" max="5389" width="15" customWidth="1"/>
    <col min="5390" max="5390" width="13.7109375" customWidth="1"/>
    <col min="5391" max="5391" width="22.140625" customWidth="1"/>
    <col min="5392" max="5392" width="22.7109375" customWidth="1"/>
    <col min="5393" max="5393" width="25.140625" customWidth="1"/>
    <col min="5394" max="5394" width="14.5703125" customWidth="1"/>
    <col min="5395" max="5395" width="18.85546875" customWidth="1"/>
    <col min="5396" max="5396" width="16.5703125" customWidth="1"/>
    <col min="5633" max="5633" width="14.28515625" customWidth="1"/>
    <col min="5634" max="5634" width="27.42578125" customWidth="1"/>
    <col min="5635" max="5635" width="13.5703125" customWidth="1"/>
    <col min="5637" max="5637" width="12.140625" customWidth="1"/>
    <col min="5638" max="5638" width="10.85546875" customWidth="1"/>
    <col min="5639" max="5639" width="14.28515625" customWidth="1"/>
    <col min="5641" max="5641" width="13.42578125" customWidth="1"/>
    <col min="5643" max="5643" width="15.5703125" customWidth="1"/>
    <col min="5645" max="5645" width="15" customWidth="1"/>
    <col min="5646" max="5646" width="13.7109375" customWidth="1"/>
    <col min="5647" max="5647" width="22.140625" customWidth="1"/>
    <col min="5648" max="5648" width="22.7109375" customWidth="1"/>
    <col min="5649" max="5649" width="25.140625" customWidth="1"/>
    <col min="5650" max="5650" width="14.5703125" customWidth="1"/>
    <col min="5651" max="5651" width="18.85546875" customWidth="1"/>
    <col min="5652" max="5652" width="16.5703125" customWidth="1"/>
    <col min="5889" max="5889" width="14.28515625" customWidth="1"/>
    <col min="5890" max="5890" width="27.42578125" customWidth="1"/>
    <col min="5891" max="5891" width="13.5703125" customWidth="1"/>
    <col min="5893" max="5893" width="12.140625" customWidth="1"/>
    <col min="5894" max="5894" width="10.85546875" customWidth="1"/>
    <col min="5895" max="5895" width="14.28515625" customWidth="1"/>
    <col min="5897" max="5897" width="13.42578125" customWidth="1"/>
    <col min="5899" max="5899" width="15.5703125" customWidth="1"/>
    <col min="5901" max="5901" width="15" customWidth="1"/>
    <col min="5902" max="5902" width="13.7109375" customWidth="1"/>
    <col min="5903" max="5903" width="22.140625" customWidth="1"/>
    <col min="5904" max="5904" width="22.7109375" customWidth="1"/>
    <col min="5905" max="5905" width="25.140625" customWidth="1"/>
    <col min="5906" max="5906" width="14.5703125" customWidth="1"/>
    <col min="5907" max="5907" width="18.85546875" customWidth="1"/>
    <col min="5908" max="5908" width="16.5703125" customWidth="1"/>
    <col min="6145" max="6145" width="14.28515625" customWidth="1"/>
    <col min="6146" max="6146" width="27.42578125" customWidth="1"/>
    <col min="6147" max="6147" width="13.5703125" customWidth="1"/>
    <col min="6149" max="6149" width="12.140625" customWidth="1"/>
    <col min="6150" max="6150" width="10.85546875" customWidth="1"/>
    <col min="6151" max="6151" width="14.28515625" customWidth="1"/>
    <col min="6153" max="6153" width="13.42578125" customWidth="1"/>
    <col min="6155" max="6155" width="15.5703125" customWidth="1"/>
    <col min="6157" max="6157" width="15" customWidth="1"/>
    <col min="6158" max="6158" width="13.7109375" customWidth="1"/>
    <col min="6159" max="6159" width="22.140625" customWidth="1"/>
    <col min="6160" max="6160" width="22.7109375" customWidth="1"/>
    <col min="6161" max="6161" width="25.140625" customWidth="1"/>
    <col min="6162" max="6162" width="14.5703125" customWidth="1"/>
    <col min="6163" max="6163" width="18.85546875" customWidth="1"/>
    <col min="6164" max="6164" width="16.5703125" customWidth="1"/>
    <col min="6401" max="6401" width="14.28515625" customWidth="1"/>
    <col min="6402" max="6402" width="27.42578125" customWidth="1"/>
    <col min="6403" max="6403" width="13.5703125" customWidth="1"/>
    <col min="6405" max="6405" width="12.140625" customWidth="1"/>
    <col min="6406" max="6406" width="10.85546875" customWidth="1"/>
    <col min="6407" max="6407" width="14.28515625" customWidth="1"/>
    <col min="6409" max="6409" width="13.42578125" customWidth="1"/>
    <col min="6411" max="6411" width="15.5703125" customWidth="1"/>
    <col min="6413" max="6413" width="15" customWidth="1"/>
    <col min="6414" max="6414" width="13.7109375" customWidth="1"/>
    <col min="6415" max="6415" width="22.140625" customWidth="1"/>
    <col min="6416" max="6416" width="22.7109375" customWidth="1"/>
    <col min="6417" max="6417" width="25.140625" customWidth="1"/>
    <col min="6418" max="6418" width="14.5703125" customWidth="1"/>
    <col min="6419" max="6419" width="18.85546875" customWidth="1"/>
    <col min="6420" max="6420" width="16.5703125" customWidth="1"/>
    <col min="6657" max="6657" width="14.28515625" customWidth="1"/>
    <col min="6658" max="6658" width="27.42578125" customWidth="1"/>
    <col min="6659" max="6659" width="13.5703125" customWidth="1"/>
    <col min="6661" max="6661" width="12.140625" customWidth="1"/>
    <col min="6662" max="6662" width="10.85546875" customWidth="1"/>
    <col min="6663" max="6663" width="14.28515625" customWidth="1"/>
    <col min="6665" max="6665" width="13.42578125" customWidth="1"/>
    <col min="6667" max="6667" width="15.5703125" customWidth="1"/>
    <col min="6669" max="6669" width="15" customWidth="1"/>
    <col min="6670" max="6670" width="13.7109375" customWidth="1"/>
    <col min="6671" max="6671" width="22.140625" customWidth="1"/>
    <col min="6672" max="6672" width="22.7109375" customWidth="1"/>
    <col min="6673" max="6673" width="25.140625" customWidth="1"/>
    <col min="6674" max="6674" width="14.5703125" customWidth="1"/>
    <col min="6675" max="6675" width="18.85546875" customWidth="1"/>
    <col min="6676" max="6676" width="16.5703125" customWidth="1"/>
    <col min="6913" max="6913" width="14.28515625" customWidth="1"/>
    <col min="6914" max="6914" width="27.42578125" customWidth="1"/>
    <col min="6915" max="6915" width="13.5703125" customWidth="1"/>
    <col min="6917" max="6917" width="12.140625" customWidth="1"/>
    <col min="6918" max="6918" width="10.85546875" customWidth="1"/>
    <col min="6919" max="6919" width="14.28515625" customWidth="1"/>
    <col min="6921" max="6921" width="13.42578125" customWidth="1"/>
    <col min="6923" max="6923" width="15.5703125" customWidth="1"/>
    <col min="6925" max="6925" width="15" customWidth="1"/>
    <col min="6926" max="6926" width="13.7109375" customWidth="1"/>
    <col min="6927" max="6927" width="22.140625" customWidth="1"/>
    <col min="6928" max="6928" width="22.7109375" customWidth="1"/>
    <col min="6929" max="6929" width="25.140625" customWidth="1"/>
    <col min="6930" max="6930" width="14.5703125" customWidth="1"/>
    <col min="6931" max="6931" width="18.85546875" customWidth="1"/>
    <col min="6932" max="6932" width="16.5703125" customWidth="1"/>
    <col min="7169" max="7169" width="14.28515625" customWidth="1"/>
    <col min="7170" max="7170" width="27.42578125" customWidth="1"/>
    <col min="7171" max="7171" width="13.5703125" customWidth="1"/>
    <col min="7173" max="7173" width="12.140625" customWidth="1"/>
    <col min="7174" max="7174" width="10.85546875" customWidth="1"/>
    <col min="7175" max="7175" width="14.28515625" customWidth="1"/>
    <col min="7177" max="7177" width="13.42578125" customWidth="1"/>
    <col min="7179" max="7179" width="15.5703125" customWidth="1"/>
    <col min="7181" max="7181" width="15" customWidth="1"/>
    <col min="7182" max="7182" width="13.7109375" customWidth="1"/>
    <col min="7183" max="7183" width="22.140625" customWidth="1"/>
    <col min="7184" max="7184" width="22.7109375" customWidth="1"/>
    <col min="7185" max="7185" width="25.140625" customWidth="1"/>
    <col min="7186" max="7186" width="14.5703125" customWidth="1"/>
    <col min="7187" max="7187" width="18.85546875" customWidth="1"/>
    <col min="7188" max="7188" width="16.5703125" customWidth="1"/>
    <col min="7425" max="7425" width="14.28515625" customWidth="1"/>
    <col min="7426" max="7426" width="27.42578125" customWidth="1"/>
    <col min="7427" max="7427" width="13.5703125" customWidth="1"/>
    <col min="7429" max="7429" width="12.140625" customWidth="1"/>
    <col min="7430" max="7430" width="10.85546875" customWidth="1"/>
    <col min="7431" max="7431" width="14.28515625" customWidth="1"/>
    <col min="7433" max="7433" width="13.42578125" customWidth="1"/>
    <col min="7435" max="7435" width="15.5703125" customWidth="1"/>
    <col min="7437" max="7437" width="15" customWidth="1"/>
    <col min="7438" max="7438" width="13.7109375" customWidth="1"/>
    <col min="7439" max="7439" width="22.140625" customWidth="1"/>
    <col min="7440" max="7440" width="22.7109375" customWidth="1"/>
    <col min="7441" max="7441" width="25.140625" customWidth="1"/>
    <col min="7442" max="7442" width="14.5703125" customWidth="1"/>
    <col min="7443" max="7443" width="18.85546875" customWidth="1"/>
    <col min="7444" max="7444" width="16.5703125" customWidth="1"/>
    <col min="7681" max="7681" width="14.28515625" customWidth="1"/>
    <col min="7682" max="7682" width="27.42578125" customWidth="1"/>
    <col min="7683" max="7683" width="13.5703125" customWidth="1"/>
    <col min="7685" max="7685" width="12.140625" customWidth="1"/>
    <col min="7686" max="7686" width="10.85546875" customWidth="1"/>
    <col min="7687" max="7687" width="14.28515625" customWidth="1"/>
    <col min="7689" max="7689" width="13.42578125" customWidth="1"/>
    <col min="7691" max="7691" width="15.5703125" customWidth="1"/>
    <col min="7693" max="7693" width="15" customWidth="1"/>
    <col min="7694" max="7694" width="13.7109375" customWidth="1"/>
    <col min="7695" max="7695" width="22.140625" customWidth="1"/>
    <col min="7696" max="7696" width="22.7109375" customWidth="1"/>
    <col min="7697" max="7697" width="25.140625" customWidth="1"/>
    <col min="7698" max="7698" width="14.5703125" customWidth="1"/>
    <col min="7699" max="7699" width="18.85546875" customWidth="1"/>
    <col min="7700" max="7700" width="16.5703125" customWidth="1"/>
    <col min="7937" max="7937" width="14.28515625" customWidth="1"/>
    <col min="7938" max="7938" width="27.42578125" customWidth="1"/>
    <col min="7939" max="7939" width="13.5703125" customWidth="1"/>
    <col min="7941" max="7941" width="12.140625" customWidth="1"/>
    <col min="7942" max="7942" width="10.85546875" customWidth="1"/>
    <col min="7943" max="7943" width="14.28515625" customWidth="1"/>
    <col min="7945" max="7945" width="13.42578125" customWidth="1"/>
    <col min="7947" max="7947" width="15.5703125" customWidth="1"/>
    <col min="7949" max="7949" width="15" customWidth="1"/>
    <col min="7950" max="7950" width="13.7109375" customWidth="1"/>
    <col min="7951" max="7951" width="22.140625" customWidth="1"/>
    <col min="7952" max="7952" width="22.7109375" customWidth="1"/>
    <col min="7953" max="7953" width="25.140625" customWidth="1"/>
    <col min="7954" max="7954" width="14.5703125" customWidth="1"/>
    <col min="7955" max="7955" width="18.85546875" customWidth="1"/>
    <col min="7956" max="7956" width="16.5703125" customWidth="1"/>
    <col min="8193" max="8193" width="14.28515625" customWidth="1"/>
    <col min="8194" max="8194" width="27.42578125" customWidth="1"/>
    <col min="8195" max="8195" width="13.5703125" customWidth="1"/>
    <col min="8197" max="8197" width="12.140625" customWidth="1"/>
    <col min="8198" max="8198" width="10.85546875" customWidth="1"/>
    <col min="8199" max="8199" width="14.28515625" customWidth="1"/>
    <col min="8201" max="8201" width="13.42578125" customWidth="1"/>
    <col min="8203" max="8203" width="15.5703125" customWidth="1"/>
    <col min="8205" max="8205" width="15" customWidth="1"/>
    <col min="8206" max="8206" width="13.7109375" customWidth="1"/>
    <col min="8207" max="8207" width="22.140625" customWidth="1"/>
    <col min="8208" max="8208" width="22.7109375" customWidth="1"/>
    <col min="8209" max="8209" width="25.140625" customWidth="1"/>
    <col min="8210" max="8210" width="14.5703125" customWidth="1"/>
    <col min="8211" max="8211" width="18.85546875" customWidth="1"/>
    <col min="8212" max="8212" width="16.5703125" customWidth="1"/>
    <col min="8449" max="8449" width="14.28515625" customWidth="1"/>
    <col min="8450" max="8450" width="27.42578125" customWidth="1"/>
    <col min="8451" max="8451" width="13.5703125" customWidth="1"/>
    <col min="8453" max="8453" width="12.140625" customWidth="1"/>
    <col min="8454" max="8454" width="10.85546875" customWidth="1"/>
    <col min="8455" max="8455" width="14.28515625" customWidth="1"/>
    <col min="8457" max="8457" width="13.42578125" customWidth="1"/>
    <col min="8459" max="8459" width="15.5703125" customWidth="1"/>
    <col min="8461" max="8461" width="15" customWidth="1"/>
    <col min="8462" max="8462" width="13.7109375" customWidth="1"/>
    <col min="8463" max="8463" width="22.140625" customWidth="1"/>
    <col min="8464" max="8464" width="22.7109375" customWidth="1"/>
    <col min="8465" max="8465" width="25.140625" customWidth="1"/>
    <col min="8466" max="8466" width="14.5703125" customWidth="1"/>
    <col min="8467" max="8467" width="18.85546875" customWidth="1"/>
    <col min="8468" max="8468" width="16.5703125" customWidth="1"/>
    <col min="8705" max="8705" width="14.28515625" customWidth="1"/>
    <col min="8706" max="8706" width="27.42578125" customWidth="1"/>
    <col min="8707" max="8707" width="13.5703125" customWidth="1"/>
    <col min="8709" max="8709" width="12.140625" customWidth="1"/>
    <col min="8710" max="8710" width="10.85546875" customWidth="1"/>
    <col min="8711" max="8711" width="14.28515625" customWidth="1"/>
    <col min="8713" max="8713" width="13.42578125" customWidth="1"/>
    <col min="8715" max="8715" width="15.5703125" customWidth="1"/>
    <col min="8717" max="8717" width="15" customWidth="1"/>
    <col min="8718" max="8718" width="13.7109375" customWidth="1"/>
    <col min="8719" max="8719" width="22.140625" customWidth="1"/>
    <col min="8720" max="8720" width="22.7109375" customWidth="1"/>
    <col min="8721" max="8721" width="25.140625" customWidth="1"/>
    <col min="8722" max="8722" width="14.5703125" customWidth="1"/>
    <col min="8723" max="8723" width="18.85546875" customWidth="1"/>
    <col min="8724" max="8724" width="16.5703125" customWidth="1"/>
    <col min="8961" max="8961" width="14.28515625" customWidth="1"/>
    <col min="8962" max="8962" width="27.42578125" customWidth="1"/>
    <col min="8963" max="8963" width="13.5703125" customWidth="1"/>
    <col min="8965" max="8965" width="12.140625" customWidth="1"/>
    <col min="8966" max="8966" width="10.85546875" customWidth="1"/>
    <col min="8967" max="8967" width="14.28515625" customWidth="1"/>
    <col min="8969" max="8969" width="13.42578125" customWidth="1"/>
    <col min="8971" max="8971" width="15.5703125" customWidth="1"/>
    <col min="8973" max="8973" width="15" customWidth="1"/>
    <col min="8974" max="8974" width="13.7109375" customWidth="1"/>
    <col min="8975" max="8975" width="22.140625" customWidth="1"/>
    <col min="8976" max="8976" width="22.7109375" customWidth="1"/>
    <col min="8977" max="8977" width="25.140625" customWidth="1"/>
    <col min="8978" max="8978" width="14.5703125" customWidth="1"/>
    <col min="8979" max="8979" width="18.85546875" customWidth="1"/>
    <col min="8980" max="8980" width="16.5703125" customWidth="1"/>
    <col min="9217" max="9217" width="14.28515625" customWidth="1"/>
    <col min="9218" max="9218" width="27.42578125" customWidth="1"/>
    <col min="9219" max="9219" width="13.5703125" customWidth="1"/>
    <col min="9221" max="9221" width="12.140625" customWidth="1"/>
    <col min="9222" max="9222" width="10.85546875" customWidth="1"/>
    <col min="9223" max="9223" width="14.28515625" customWidth="1"/>
    <col min="9225" max="9225" width="13.42578125" customWidth="1"/>
    <col min="9227" max="9227" width="15.5703125" customWidth="1"/>
    <col min="9229" max="9229" width="15" customWidth="1"/>
    <col min="9230" max="9230" width="13.7109375" customWidth="1"/>
    <col min="9231" max="9231" width="22.140625" customWidth="1"/>
    <col min="9232" max="9232" width="22.7109375" customWidth="1"/>
    <col min="9233" max="9233" width="25.140625" customWidth="1"/>
    <col min="9234" max="9234" width="14.5703125" customWidth="1"/>
    <col min="9235" max="9235" width="18.85546875" customWidth="1"/>
    <col min="9236" max="9236" width="16.5703125" customWidth="1"/>
    <col min="9473" max="9473" width="14.28515625" customWidth="1"/>
    <col min="9474" max="9474" width="27.42578125" customWidth="1"/>
    <col min="9475" max="9475" width="13.5703125" customWidth="1"/>
    <col min="9477" max="9477" width="12.140625" customWidth="1"/>
    <col min="9478" max="9478" width="10.85546875" customWidth="1"/>
    <col min="9479" max="9479" width="14.28515625" customWidth="1"/>
    <col min="9481" max="9481" width="13.42578125" customWidth="1"/>
    <col min="9483" max="9483" width="15.5703125" customWidth="1"/>
    <col min="9485" max="9485" width="15" customWidth="1"/>
    <col min="9486" max="9486" width="13.7109375" customWidth="1"/>
    <col min="9487" max="9487" width="22.140625" customWidth="1"/>
    <col min="9488" max="9488" width="22.7109375" customWidth="1"/>
    <col min="9489" max="9489" width="25.140625" customWidth="1"/>
    <col min="9490" max="9490" width="14.5703125" customWidth="1"/>
    <col min="9491" max="9491" width="18.85546875" customWidth="1"/>
    <col min="9492" max="9492" width="16.5703125" customWidth="1"/>
    <col min="9729" max="9729" width="14.28515625" customWidth="1"/>
    <col min="9730" max="9730" width="27.42578125" customWidth="1"/>
    <col min="9731" max="9731" width="13.5703125" customWidth="1"/>
    <col min="9733" max="9733" width="12.140625" customWidth="1"/>
    <col min="9734" max="9734" width="10.85546875" customWidth="1"/>
    <col min="9735" max="9735" width="14.28515625" customWidth="1"/>
    <col min="9737" max="9737" width="13.42578125" customWidth="1"/>
    <col min="9739" max="9739" width="15.5703125" customWidth="1"/>
    <col min="9741" max="9741" width="15" customWidth="1"/>
    <col min="9742" max="9742" width="13.7109375" customWidth="1"/>
    <col min="9743" max="9743" width="22.140625" customWidth="1"/>
    <col min="9744" max="9744" width="22.7109375" customWidth="1"/>
    <col min="9745" max="9745" width="25.140625" customWidth="1"/>
    <col min="9746" max="9746" width="14.5703125" customWidth="1"/>
    <col min="9747" max="9747" width="18.85546875" customWidth="1"/>
    <col min="9748" max="9748" width="16.5703125" customWidth="1"/>
    <col min="9985" max="9985" width="14.28515625" customWidth="1"/>
    <col min="9986" max="9986" width="27.42578125" customWidth="1"/>
    <col min="9987" max="9987" width="13.5703125" customWidth="1"/>
    <col min="9989" max="9989" width="12.140625" customWidth="1"/>
    <col min="9990" max="9990" width="10.85546875" customWidth="1"/>
    <col min="9991" max="9991" width="14.28515625" customWidth="1"/>
    <col min="9993" max="9993" width="13.42578125" customWidth="1"/>
    <col min="9995" max="9995" width="15.5703125" customWidth="1"/>
    <col min="9997" max="9997" width="15" customWidth="1"/>
    <col min="9998" max="9998" width="13.7109375" customWidth="1"/>
    <col min="9999" max="9999" width="22.140625" customWidth="1"/>
    <col min="10000" max="10000" width="22.7109375" customWidth="1"/>
    <col min="10001" max="10001" width="25.140625" customWidth="1"/>
    <col min="10002" max="10002" width="14.5703125" customWidth="1"/>
    <col min="10003" max="10003" width="18.85546875" customWidth="1"/>
    <col min="10004" max="10004" width="16.5703125" customWidth="1"/>
    <col min="10241" max="10241" width="14.28515625" customWidth="1"/>
    <col min="10242" max="10242" width="27.42578125" customWidth="1"/>
    <col min="10243" max="10243" width="13.5703125" customWidth="1"/>
    <col min="10245" max="10245" width="12.140625" customWidth="1"/>
    <col min="10246" max="10246" width="10.85546875" customWidth="1"/>
    <col min="10247" max="10247" width="14.28515625" customWidth="1"/>
    <col min="10249" max="10249" width="13.42578125" customWidth="1"/>
    <col min="10251" max="10251" width="15.5703125" customWidth="1"/>
    <col min="10253" max="10253" width="15" customWidth="1"/>
    <col min="10254" max="10254" width="13.7109375" customWidth="1"/>
    <col min="10255" max="10255" width="22.140625" customWidth="1"/>
    <col min="10256" max="10256" width="22.7109375" customWidth="1"/>
    <col min="10257" max="10257" width="25.140625" customWidth="1"/>
    <col min="10258" max="10258" width="14.5703125" customWidth="1"/>
    <col min="10259" max="10259" width="18.85546875" customWidth="1"/>
    <col min="10260" max="10260" width="16.5703125" customWidth="1"/>
    <col min="10497" max="10497" width="14.28515625" customWidth="1"/>
    <col min="10498" max="10498" width="27.42578125" customWidth="1"/>
    <col min="10499" max="10499" width="13.5703125" customWidth="1"/>
    <col min="10501" max="10501" width="12.140625" customWidth="1"/>
    <col min="10502" max="10502" width="10.85546875" customWidth="1"/>
    <col min="10503" max="10503" width="14.28515625" customWidth="1"/>
    <col min="10505" max="10505" width="13.42578125" customWidth="1"/>
    <col min="10507" max="10507" width="15.5703125" customWidth="1"/>
    <col min="10509" max="10509" width="15" customWidth="1"/>
    <col min="10510" max="10510" width="13.7109375" customWidth="1"/>
    <col min="10511" max="10511" width="22.140625" customWidth="1"/>
    <col min="10512" max="10512" width="22.7109375" customWidth="1"/>
    <col min="10513" max="10513" width="25.140625" customWidth="1"/>
    <col min="10514" max="10514" width="14.5703125" customWidth="1"/>
    <col min="10515" max="10515" width="18.85546875" customWidth="1"/>
    <col min="10516" max="10516" width="16.5703125" customWidth="1"/>
    <col min="10753" max="10753" width="14.28515625" customWidth="1"/>
    <col min="10754" max="10754" width="27.42578125" customWidth="1"/>
    <col min="10755" max="10755" width="13.5703125" customWidth="1"/>
    <col min="10757" max="10757" width="12.140625" customWidth="1"/>
    <col min="10758" max="10758" width="10.85546875" customWidth="1"/>
    <col min="10759" max="10759" width="14.28515625" customWidth="1"/>
    <col min="10761" max="10761" width="13.42578125" customWidth="1"/>
    <col min="10763" max="10763" width="15.5703125" customWidth="1"/>
    <col min="10765" max="10765" width="15" customWidth="1"/>
    <col min="10766" max="10766" width="13.7109375" customWidth="1"/>
    <col min="10767" max="10767" width="22.140625" customWidth="1"/>
    <col min="10768" max="10768" width="22.7109375" customWidth="1"/>
    <col min="10769" max="10769" width="25.140625" customWidth="1"/>
    <col min="10770" max="10770" width="14.5703125" customWidth="1"/>
    <col min="10771" max="10771" width="18.85546875" customWidth="1"/>
    <col min="10772" max="10772" width="16.5703125" customWidth="1"/>
    <col min="11009" max="11009" width="14.28515625" customWidth="1"/>
    <col min="11010" max="11010" width="27.42578125" customWidth="1"/>
    <col min="11011" max="11011" width="13.5703125" customWidth="1"/>
    <col min="11013" max="11013" width="12.140625" customWidth="1"/>
    <col min="11014" max="11014" width="10.85546875" customWidth="1"/>
    <col min="11015" max="11015" width="14.28515625" customWidth="1"/>
    <col min="11017" max="11017" width="13.42578125" customWidth="1"/>
    <col min="11019" max="11019" width="15.5703125" customWidth="1"/>
    <col min="11021" max="11021" width="15" customWidth="1"/>
    <col min="11022" max="11022" width="13.7109375" customWidth="1"/>
    <col min="11023" max="11023" width="22.140625" customWidth="1"/>
    <col min="11024" max="11024" width="22.7109375" customWidth="1"/>
    <col min="11025" max="11025" width="25.140625" customWidth="1"/>
    <col min="11026" max="11026" width="14.5703125" customWidth="1"/>
    <col min="11027" max="11027" width="18.85546875" customWidth="1"/>
    <col min="11028" max="11028" width="16.5703125" customWidth="1"/>
    <col min="11265" max="11265" width="14.28515625" customWidth="1"/>
    <col min="11266" max="11266" width="27.42578125" customWidth="1"/>
    <col min="11267" max="11267" width="13.5703125" customWidth="1"/>
    <col min="11269" max="11269" width="12.140625" customWidth="1"/>
    <col min="11270" max="11270" width="10.85546875" customWidth="1"/>
    <col min="11271" max="11271" width="14.28515625" customWidth="1"/>
    <col min="11273" max="11273" width="13.42578125" customWidth="1"/>
    <col min="11275" max="11275" width="15.5703125" customWidth="1"/>
    <col min="11277" max="11277" width="15" customWidth="1"/>
    <col min="11278" max="11278" width="13.7109375" customWidth="1"/>
    <col min="11279" max="11279" width="22.140625" customWidth="1"/>
    <col min="11280" max="11280" width="22.7109375" customWidth="1"/>
    <col min="11281" max="11281" width="25.140625" customWidth="1"/>
    <col min="11282" max="11282" width="14.5703125" customWidth="1"/>
    <col min="11283" max="11283" width="18.85546875" customWidth="1"/>
    <col min="11284" max="11284" width="16.5703125" customWidth="1"/>
    <col min="11521" max="11521" width="14.28515625" customWidth="1"/>
    <col min="11522" max="11522" width="27.42578125" customWidth="1"/>
    <col min="11523" max="11523" width="13.5703125" customWidth="1"/>
    <col min="11525" max="11525" width="12.140625" customWidth="1"/>
    <col min="11526" max="11526" width="10.85546875" customWidth="1"/>
    <col min="11527" max="11527" width="14.28515625" customWidth="1"/>
    <col min="11529" max="11529" width="13.42578125" customWidth="1"/>
    <col min="11531" max="11531" width="15.5703125" customWidth="1"/>
    <col min="11533" max="11533" width="15" customWidth="1"/>
    <col min="11534" max="11534" width="13.7109375" customWidth="1"/>
    <col min="11535" max="11535" width="22.140625" customWidth="1"/>
    <col min="11536" max="11536" width="22.7109375" customWidth="1"/>
    <col min="11537" max="11537" width="25.140625" customWidth="1"/>
    <col min="11538" max="11538" width="14.5703125" customWidth="1"/>
    <col min="11539" max="11539" width="18.85546875" customWidth="1"/>
    <col min="11540" max="11540" width="16.5703125" customWidth="1"/>
    <col min="11777" max="11777" width="14.28515625" customWidth="1"/>
    <col min="11778" max="11778" width="27.42578125" customWidth="1"/>
    <col min="11779" max="11779" width="13.5703125" customWidth="1"/>
    <col min="11781" max="11781" width="12.140625" customWidth="1"/>
    <col min="11782" max="11782" width="10.85546875" customWidth="1"/>
    <col min="11783" max="11783" width="14.28515625" customWidth="1"/>
    <col min="11785" max="11785" width="13.42578125" customWidth="1"/>
    <col min="11787" max="11787" width="15.5703125" customWidth="1"/>
    <col min="11789" max="11789" width="15" customWidth="1"/>
    <col min="11790" max="11790" width="13.7109375" customWidth="1"/>
    <col min="11791" max="11791" width="22.140625" customWidth="1"/>
    <col min="11792" max="11792" width="22.7109375" customWidth="1"/>
    <col min="11793" max="11793" width="25.140625" customWidth="1"/>
    <col min="11794" max="11794" width="14.5703125" customWidth="1"/>
    <col min="11795" max="11795" width="18.85546875" customWidth="1"/>
    <col min="11796" max="11796" width="16.5703125" customWidth="1"/>
    <col min="12033" max="12033" width="14.28515625" customWidth="1"/>
    <col min="12034" max="12034" width="27.42578125" customWidth="1"/>
    <col min="12035" max="12035" width="13.5703125" customWidth="1"/>
    <col min="12037" max="12037" width="12.140625" customWidth="1"/>
    <col min="12038" max="12038" width="10.85546875" customWidth="1"/>
    <col min="12039" max="12039" width="14.28515625" customWidth="1"/>
    <col min="12041" max="12041" width="13.42578125" customWidth="1"/>
    <col min="12043" max="12043" width="15.5703125" customWidth="1"/>
    <col min="12045" max="12045" width="15" customWidth="1"/>
    <col min="12046" max="12046" width="13.7109375" customWidth="1"/>
    <col min="12047" max="12047" width="22.140625" customWidth="1"/>
    <col min="12048" max="12048" width="22.7109375" customWidth="1"/>
    <col min="12049" max="12049" width="25.140625" customWidth="1"/>
    <col min="12050" max="12050" width="14.5703125" customWidth="1"/>
    <col min="12051" max="12051" width="18.85546875" customWidth="1"/>
    <col min="12052" max="12052" width="16.5703125" customWidth="1"/>
    <col min="12289" max="12289" width="14.28515625" customWidth="1"/>
    <col min="12290" max="12290" width="27.42578125" customWidth="1"/>
    <col min="12291" max="12291" width="13.5703125" customWidth="1"/>
    <col min="12293" max="12293" width="12.140625" customWidth="1"/>
    <col min="12294" max="12294" width="10.85546875" customWidth="1"/>
    <col min="12295" max="12295" width="14.28515625" customWidth="1"/>
    <col min="12297" max="12297" width="13.42578125" customWidth="1"/>
    <col min="12299" max="12299" width="15.5703125" customWidth="1"/>
    <col min="12301" max="12301" width="15" customWidth="1"/>
    <col min="12302" max="12302" width="13.7109375" customWidth="1"/>
    <col min="12303" max="12303" width="22.140625" customWidth="1"/>
    <col min="12304" max="12304" width="22.7109375" customWidth="1"/>
    <col min="12305" max="12305" width="25.140625" customWidth="1"/>
    <col min="12306" max="12306" width="14.5703125" customWidth="1"/>
    <col min="12307" max="12307" width="18.85546875" customWidth="1"/>
    <col min="12308" max="12308" width="16.5703125" customWidth="1"/>
    <col min="12545" max="12545" width="14.28515625" customWidth="1"/>
    <col min="12546" max="12546" width="27.42578125" customWidth="1"/>
    <col min="12547" max="12547" width="13.5703125" customWidth="1"/>
    <col min="12549" max="12549" width="12.140625" customWidth="1"/>
    <col min="12550" max="12550" width="10.85546875" customWidth="1"/>
    <col min="12551" max="12551" width="14.28515625" customWidth="1"/>
    <col min="12553" max="12553" width="13.42578125" customWidth="1"/>
    <col min="12555" max="12555" width="15.5703125" customWidth="1"/>
    <col min="12557" max="12557" width="15" customWidth="1"/>
    <col min="12558" max="12558" width="13.7109375" customWidth="1"/>
    <col min="12559" max="12559" width="22.140625" customWidth="1"/>
    <col min="12560" max="12560" width="22.7109375" customWidth="1"/>
    <col min="12561" max="12561" width="25.140625" customWidth="1"/>
    <col min="12562" max="12562" width="14.5703125" customWidth="1"/>
    <col min="12563" max="12563" width="18.85546875" customWidth="1"/>
    <col min="12564" max="12564" width="16.5703125" customWidth="1"/>
    <col min="12801" max="12801" width="14.28515625" customWidth="1"/>
    <col min="12802" max="12802" width="27.42578125" customWidth="1"/>
    <col min="12803" max="12803" width="13.5703125" customWidth="1"/>
    <col min="12805" max="12805" width="12.140625" customWidth="1"/>
    <col min="12806" max="12806" width="10.85546875" customWidth="1"/>
    <col min="12807" max="12807" width="14.28515625" customWidth="1"/>
    <col min="12809" max="12809" width="13.42578125" customWidth="1"/>
    <col min="12811" max="12811" width="15.5703125" customWidth="1"/>
    <col min="12813" max="12813" width="15" customWidth="1"/>
    <col min="12814" max="12814" width="13.7109375" customWidth="1"/>
    <col min="12815" max="12815" width="22.140625" customWidth="1"/>
    <col min="12816" max="12816" width="22.7109375" customWidth="1"/>
    <col min="12817" max="12817" width="25.140625" customWidth="1"/>
    <col min="12818" max="12818" width="14.5703125" customWidth="1"/>
    <col min="12819" max="12819" width="18.85546875" customWidth="1"/>
    <col min="12820" max="12820" width="16.5703125" customWidth="1"/>
    <col min="13057" max="13057" width="14.28515625" customWidth="1"/>
    <col min="13058" max="13058" width="27.42578125" customWidth="1"/>
    <col min="13059" max="13059" width="13.5703125" customWidth="1"/>
    <col min="13061" max="13061" width="12.140625" customWidth="1"/>
    <col min="13062" max="13062" width="10.85546875" customWidth="1"/>
    <col min="13063" max="13063" width="14.28515625" customWidth="1"/>
    <col min="13065" max="13065" width="13.42578125" customWidth="1"/>
    <col min="13067" max="13067" width="15.5703125" customWidth="1"/>
    <col min="13069" max="13069" width="15" customWidth="1"/>
    <col min="13070" max="13070" width="13.7109375" customWidth="1"/>
    <col min="13071" max="13071" width="22.140625" customWidth="1"/>
    <col min="13072" max="13072" width="22.7109375" customWidth="1"/>
    <col min="13073" max="13073" width="25.140625" customWidth="1"/>
    <col min="13074" max="13074" width="14.5703125" customWidth="1"/>
    <col min="13075" max="13075" width="18.85546875" customWidth="1"/>
    <col min="13076" max="13076" width="16.5703125" customWidth="1"/>
    <col min="13313" max="13313" width="14.28515625" customWidth="1"/>
    <col min="13314" max="13314" width="27.42578125" customWidth="1"/>
    <col min="13315" max="13315" width="13.5703125" customWidth="1"/>
    <col min="13317" max="13317" width="12.140625" customWidth="1"/>
    <col min="13318" max="13318" width="10.85546875" customWidth="1"/>
    <col min="13319" max="13319" width="14.28515625" customWidth="1"/>
    <col min="13321" max="13321" width="13.42578125" customWidth="1"/>
    <col min="13323" max="13323" width="15.5703125" customWidth="1"/>
    <col min="13325" max="13325" width="15" customWidth="1"/>
    <col min="13326" max="13326" width="13.7109375" customWidth="1"/>
    <col min="13327" max="13327" width="22.140625" customWidth="1"/>
    <col min="13328" max="13328" width="22.7109375" customWidth="1"/>
    <col min="13329" max="13329" width="25.140625" customWidth="1"/>
    <col min="13330" max="13330" width="14.5703125" customWidth="1"/>
    <col min="13331" max="13331" width="18.85546875" customWidth="1"/>
    <col min="13332" max="13332" width="16.5703125" customWidth="1"/>
    <col min="13569" max="13569" width="14.28515625" customWidth="1"/>
    <col min="13570" max="13570" width="27.42578125" customWidth="1"/>
    <col min="13571" max="13571" width="13.5703125" customWidth="1"/>
    <col min="13573" max="13573" width="12.140625" customWidth="1"/>
    <col min="13574" max="13574" width="10.85546875" customWidth="1"/>
    <col min="13575" max="13575" width="14.28515625" customWidth="1"/>
    <col min="13577" max="13577" width="13.42578125" customWidth="1"/>
    <col min="13579" max="13579" width="15.5703125" customWidth="1"/>
    <col min="13581" max="13581" width="15" customWidth="1"/>
    <col min="13582" max="13582" width="13.7109375" customWidth="1"/>
    <col min="13583" max="13583" width="22.140625" customWidth="1"/>
    <col min="13584" max="13584" width="22.7109375" customWidth="1"/>
    <col min="13585" max="13585" width="25.140625" customWidth="1"/>
    <col min="13586" max="13586" width="14.5703125" customWidth="1"/>
    <col min="13587" max="13587" width="18.85546875" customWidth="1"/>
    <col min="13588" max="13588" width="16.5703125" customWidth="1"/>
    <col min="13825" max="13825" width="14.28515625" customWidth="1"/>
    <col min="13826" max="13826" width="27.42578125" customWidth="1"/>
    <col min="13827" max="13827" width="13.5703125" customWidth="1"/>
    <col min="13829" max="13829" width="12.140625" customWidth="1"/>
    <col min="13830" max="13830" width="10.85546875" customWidth="1"/>
    <col min="13831" max="13831" width="14.28515625" customWidth="1"/>
    <col min="13833" max="13833" width="13.42578125" customWidth="1"/>
    <col min="13835" max="13835" width="15.5703125" customWidth="1"/>
    <col min="13837" max="13837" width="15" customWidth="1"/>
    <col min="13838" max="13838" width="13.7109375" customWidth="1"/>
    <col min="13839" max="13839" width="22.140625" customWidth="1"/>
    <col min="13840" max="13840" width="22.7109375" customWidth="1"/>
    <col min="13841" max="13841" width="25.140625" customWidth="1"/>
    <col min="13842" max="13842" width="14.5703125" customWidth="1"/>
    <col min="13843" max="13843" width="18.85546875" customWidth="1"/>
    <col min="13844" max="13844" width="16.5703125" customWidth="1"/>
    <col min="14081" max="14081" width="14.28515625" customWidth="1"/>
    <col min="14082" max="14082" width="27.42578125" customWidth="1"/>
    <col min="14083" max="14083" width="13.5703125" customWidth="1"/>
    <col min="14085" max="14085" width="12.140625" customWidth="1"/>
    <col min="14086" max="14086" width="10.85546875" customWidth="1"/>
    <col min="14087" max="14087" width="14.28515625" customWidth="1"/>
    <col min="14089" max="14089" width="13.42578125" customWidth="1"/>
    <col min="14091" max="14091" width="15.5703125" customWidth="1"/>
    <col min="14093" max="14093" width="15" customWidth="1"/>
    <col min="14094" max="14094" width="13.7109375" customWidth="1"/>
    <col min="14095" max="14095" width="22.140625" customWidth="1"/>
    <col min="14096" max="14096" width="22.7109375" customWidth="1"/>
    <col min="14097" max="14097" width="25.140625" customWidth="1"/>
    <col min="14098" max="14098" width="14.5703125" customWidth="1"/>
    <col min="14099" max="14099" width="18.85546875" customWidth="1"/>
    <col min="14100" max="14100" width="16.5703125" customWidth="1"/>
    <col min="14337" max="14337" width="14.28515625" customWidth="1"/>
    <col min="14338" max="14338" width="27.42578125" customWidth="1"/>
    <col min="14339" max="14339" width="13.5703125" customWidth="1"/>
    <col min="14341" max="14341" width="12.140625" customWidth="1"/>
    <col min="14342" max="14342" width="10.85546875" customWidth="1"/>
    <col min="14343" max="14343" width="14.28515625" customWidth="1"/>
    <col min="14345" max="14345" width="13.42578125" customWidth="1"/>
    <col min="14347" max="14347" width="15.5703125" customWidth="1"/>
    <col min="14349" max="14349" width="15" customWidth="1"/>
    <col min="14350" max="14350" width="13.7109375" customWidth="1"/>
    <col min="14351" max="14351" width="22.140625" customWidth="1"/>
    <col min="14352" max="14352" width="22.7109375" customWidth="1"/>
    <col min="14353" max="14353" width="25.140625" customWidth="1"/>
    <col min="14354" max="14354" width="14.5703125" customWidth="1"/>
    <col min="14355" max="14355" width="18.85546875" customWidth="1"/>
    <col min="14356" max="14356" width="16.5703125" customWidth="1"/>
    <col min="14593" max="14593" width="14.28515625" customWidth="1"/>
    <col min="14594" max="14594" width="27.42578125" customWidth="1"/>
    <col min="14595" max="14595" width="13.5703125" customWidth="1"/>
    <col min="14597" max="14597" width="12.140625" customWidth="1"/>
    <col min="14598" max="14598" width="10.85546875" customWidth="1"/>
    <col min="14599" max="14599" width="14.28515625" customWidth="1"/>
    <col min="14601" max="14601" width="13.42578125" customWidth="1"/>
    <col min="14603" max="14603" width="15.5703125" customWidth="1"/>
    <col min="14605" max="14605" width="15" customWidth="1"/>
    <col min="14606" max="14606" width="13.7109375" customWidth="1"/>
    <col min="14607" max="14607" width="22.140625" customWidth="1"/>
    <col min="14608" max="14608" width="22.7109375" customWidth="1"/>
    <col min="14609" max="14609" width="25.140625" customWidth="1"/>
    <col min="14610" max="14610" width="14.5703125" customWidth="1"/>
    <col min="14611" max="14611" width="18.85546875" customWidth="1"/>
    <col min="14612" max="14612" width="16.5703125" customWidth="1"/>
    <col min="14849" max="14849" width="14.28515625" customWidth="1"/>
    <col min="14850" max="14850" width="27.42578125" customWidth="1"/>
    <col min="14851" max="14851" width="13.5703125" customWidth="1"/>
    <col min="14853" max="14853" width="12.140625" customWidth="1"/>
    <col min="14854" max="14854" width="10.85546875" customWidth="1"/>
    <col min="14855" max="14855" width="14.28515625" customWidth="1"/>
    <col min="14857" max="14857" width="13.42578125" customWidth="1"/>
    <col min="14859" max="14859" width="15.5703125" customWidth="1"/>
    <col min="14861" max="14861" width="15" customWidth="1"/>
    <col min="14862" max="14862" width="13.7109375" customWidth="1"/>
    <col min="14863" max="14863" width="22.140625" customWidth="1"/>
    <col min="14864" max="14864" width="22.7109375" customWidth="1"/>
    <col min="14865" max="14865" width="25.140625" customWidth="1"/>
    <col min="14866" max="14866" width="14.5703125" customWidth="1"/>
    <col min="14867" max="14867" width="18.85546875" customWidth="1"/>
    <col min="14868" max="14868" width="16.5703125" customWidth="1"/>
    <col min="15105" max="15105" width="14.28515625" customWidth="1"/>
    <col min="15106" max="15106" width="27.42578125" customWidth="1"/>
    <col min="15107" max="15107" width="13.5703125" customWidth="1"/>
    <col min="15109" max="15109" width="12.140625" customWidth="1"/>
    <col min="15110" max="15110" width="10.85546875" customWidth="1"/>
    <col min="15111" max="15111" width="14.28515625" customWidth="1"/>
    <col min="15113" max="15113" width="13.42578125" customWidth="1"/>
    <col min="15115" max="15115" width="15.5703125" customWidth="1"/>
    <col min="15117" max="15117" width="15" customWidth="1"/>
    <col min="15118" max="15118" width="13.7109375" customWidth="1"/>
    <col min="15119" max="15119" width="22.140625" customWidth="1"/>
    <col min="15120" max="15120" width="22.7109375" customWidth="1"/>
    <col min="15121" max="15121" width="25.140625" customWidth="1"/>
    <col min="15122" max="15122" width="14.5703125" customWidth="1"/>
    <col min="15123" max="15123" width="18.85546875" customWidth="1"/>
    <col min="15124" max="15124" width="16.5703125" customWidth="1"/>
    <col min="15361" max="15361" width="14.28515625" customWidth="1"/>
    <col min="15362" max="15362" width="27.42578125" customWidth="1"/>
    <col min="15363" max="15363" width="13.5703125" customWidth="1"/>
    <col min="15365" max="15365" width="12.140625" customWidth="1"/>
    <col min="15366" max="15366" width="10.85546875" customWidth="1"/>
    <col min="15367" max="15367" width="14.28515625" customWidth="1"/>
    <col min="15369" max="15369" width="13.42578125" customWidth="1"/>
    <col min="15371" max="15371" width="15.5703125" customWidth="1"/>
    <col min="15373" max="15373" width="15" customWidth="1"/>
    <col min="15374" max="15374" width="13.7109375" customWidth="1"/>
    <col min="15375" max="15375" width="22.140625" customWidth="1"/>
    <col min="15376" max="15376" width="22.7109375" customWidth="1"/>
    <col min="15377" max="15377" width="25.140625" customWidth="1"/>
    <col min="15378" max="15378" width="14.5703125" customWidth="1"/>
    <col min="15379" max="15379" width="18.85546875" customWidth="1"/>
    <col min="15380" max="15380" width="16.5703125" customWidth="1"/>
    <col min="15617" max="15617" width="14.28515625" customWidth="1"/>
    <col min="15618" max="15618" width="27.42578125" customWidth="1"/>
    <col min="15619" max="15619" width="13.5703125" customWidth="1"/>
    <col min="15621" max="15621" width="12.140625" customWidth="1"/>
    <col min="15622" max="15622" width="10.85546875" customWidth="1"/>
    <col min="15623" max="15623" width="14.28515625" customWidth="1"/>
    <col min="15625" max="15625" width="13.42578125" customWidth="1"/>
    <col min="15627" max="15627" width="15.5703125" customWidth="1"/>
    <col min="15629" max="15629" width="15" customWidth="1"/>
    <col min="15630" max="15630" width="13.7109375" customWidth="1"/>
    <col min="15631" max="15631" width="22.140625" customWidth="1"/>
    <col min="15632" max="15632" width="22.7109375" customWidth="1"/>
    <col min="15633" max="15633" width="25.140625" customWidth="1"/>
    <col min="15634" max="15634" width="14.5703125" customWidth="1"/>
    <col min="15635" max="15635" width="18.85546875" customWidth="1"/>
    <col min="15636" max="15636" width="16.5703125" customWidth="1"/>
    <col min="15873" max="15873" width="14.28515625" customWidth="1"/>
    <col min="15874" max="15874" width="27.42578125" customWidth="1"/>
    <col min="15875" max="15875" width="13.5703125" customWidth="1"/>
    <col min="15877" max="15877" width="12.140625" customWidth="1"/>
    <col min="15878" max="15878" width="10.85546875" customWidth="1"/>
    <col min="15879" max="15879" width="14.28515625" customWidth="1"/>
    <col min="15881" max="15881" width="13.42578125" customWidth="1"/>
    <col min="15883" max="15883" width="15.5703125" customWidth="1"/>
    <col min="15885" max="15885" width="15" customWidth="1"/>
    <col min="15886" max="15886" width="13.7109375" customWidth="1"/>
    <col min="15887" max="15887" width="22.140625" customWidth="1"/>
    <col min="15888" max="15888" width="22.7109375" customWidth="1"/>
    <col min="15889" max="15889" width="25.140625" customWidth="1"/>
    <col min="15890" max="15890" width="14.5703125" customWidth="1"/>
    <col min="15891" max="15891" width="18.85546875" customWidth="1"/>
    <col min="15892" max="15892" width="16.5703125" customWidth="1"/>
    <col min="16129" max="16129" width="14.28515625" customWidth="1"/>
    <col min="16130" max="16130" width="27.42578125" customWidth="1"/>
    <col min="16131" max="16131" width="13.5703125" customWidth="1"/>
    <col min="16133" max="16133" width="12.140625" customWidth="1"/>
    <col min="16134" max="16134" width="10.85546875" customWidth="1"/>
    <col min="16135" max="16135" width="14.28515625" customWidth="1"/>
    <col min="16137" max="16137" width="13.42578125" customWidth="1"/>
    <col min="16139" max="16139" width="15.5703125" customWidth="1"/>
    <col min="16141" max="16141" width="15" customWidth="1"/>
    <col min="16142" max="16142" width="13.7109375" customWidth="1"/>
    <col min="16143" max="16143" width="22.140625" customWidth="1"/>
    <col min="16144" max="16144" width="22.7109375" customWidth="1"/>
    <col min="16145" max="16145" width="25.140625" customWidth="1"/>
    <col min="16146" max="16146" width="14.5703125" customWidth="1"/>
    <col min="16147" max="16147" width="18.85546875" customWidth="1"/>
    <col min="16148" max="16148" width="16.5703125" customWidth="1"/>
  </cols>
  <sheetData>
    <row r="1" spans="1:19" ht="15.75" x14ac:dyDescent="0.25">
      <c r="A1" s="1" t="s">
        <v>17</v>
      </c>
    </row>
    <row r="3" spans="1:19" ht="15" x14ac:dyDescent="0.25">
      <c r="A3" s="2" t="s">
        <v>18</v>
      </c>
    </row>
    <row r="5" spans="1:19" x14ac:dyDescent="0.2">
      <c r="A5" t="s">
        <v>0</v>
      </c>
      <c r="B5" t="s">
        <v>1</v>
      </c>
      <c r="C5" t="s">
        <v>64</v>
      </c>
      <c r="D5" t="s">
        <v>5</v>
      </c>
      <c r="E5" t="s">
        <v>64</v>
      </c>
      <c r="F5" t="s">
        <v>6</v>
      </c>
      <c r="G5" t="s">
        <v>64</v>
      </c>
      <c r="H5" t="s">
        <v>7</v>
      </c>
      <c r="I5" t="s">
        <v>64</v>
      </c>
      <c r="J5" t="s">
        <v>8</v>
      </c>
      <c r="K5" t="s">
        <v>64</v>
      </c>
      <c r="L5" t="s">
        <v>9</v>
      </c>
      <c r="M5" t="s">
        <v>64</v>
      </c>
      <c r="N5" t="s">
        <v>2</v>
      </c>
      <c r="O5" t="s">
        <v>64</v>
      </c>
      <c r="P5" t="s">
        <v>20</v>
      </c>
      <c r="Q5" t="s">
        <v>21</v>
      </c>
      <c r="R5" t="s">
        <v>22</v>
      </c>
      <c r="S5" t="s">
        <v>23</v>
      </c>
    </row>
    <row r="6" spans="1:19" x14ac:dyDescent="0.2">
      <c r="A6">
        <v>1000</v>
      </c>
      <c r="B6">
        <v>1</v>
      </c>
      <c r="C6">
        <v>910.93981999999994</v>
      </c>
      <c r="D6">
        <v>0</v>
      </c>
      <c r="E6">
        <v>711.96776</v>
      </c>
      <c r="F6">
        <v>1</v>
      </c>
      <c r="G6">
        <v>293.47611999999998</v>
      </c>
      <c r="H6">
        <v>2</v>
      </c>
      <c r="I6">
        <v>107.253342</v>
      </c>
      <c r="J6">
        <v>1</v>
      </c>
      <c r="K6">
        <v>42.632365999999998</v>
      </c>
      <c r="L6">
        <v>3</v>
      </c>
      <c r="M6">
        <v>19.202119999999997</v>
      </c>
      <c r="N6">
        <v>0</v>
      </c>
      <c r="O6">
        <v>8.8035667999999987</v>
      </c>
      <c r="P6" s="3">
        <f>(B6*C6)+(D6*E6)+(F6*G6)+(H6*I6)+(J6*K6)+(L6*M6)+(N6*O6)</f>
        <v>1519.1613499999999</v>
      </c>
    </row>
    <row r="7" spans="1:19" x14ac:dyDescent="0.2">
      <c r="A7">
        <v>2000</v>
      </c>
      <c r="B7">
        <v>8</v>
      </c>
      <c r="C7">
        <v>910.93981999999994</v>
      </c>
      <c r="D7">
        <v>7</v>
      </c>
      <c r="E7">
        <v>711.96776</v>
      </c>
      <c r="F7">
        <v>13</v>
      </c>
      <c r="G7">
        <v>293.47611999999998</v>
      </c>
      <c r="H7">
        <v>36</v>
      </c>
      <c r="I7">
        <v>107.253342</v>
      </c>
      <c r="J7">
        <v>33</v>
      </c>
      <c r="K7">
        <v>42.632365999999998</v>
      </c>
      <c r="L7">
        <v>42</v>
      </c>
      <c r="M7">
        <v>19.202119999999997</v>
      </c>
      <c r="N7">
        <v>23</v>
      </c>
      <c r="O7">
        <v>8.8035667999999987</v>
      </c>
      <c r="P7" s="3">
        <f t="shared" ref="P7:P20" si="0">(B7*C7)+(D7*E7)+(F7*G7)+(H7*I7)+(J7*K7)+(L7*M7)+(N7*O7)</f>
        <v>22363.441906399999</v>
      </c>
    </row>
    <row r="8" spans="1:19" x14ac:dyDescent="0.2">
      <c r="A8">
        <v>3000</v>
      </c>
      <c r="B8">
        <v>24</v>
      </c>
      <c r="C8">
        <v>910.93981999999994</v>
      </c>
      <c r="D8">
        <v>26</v>
      </c>
      <c r="E8">
        <v>711.96776</v>
      </c>
      <c r="F8">
        <v>30</v>
      </c>
      <c r="G8">
        <v>293.47611999999998</v>
      </c>
      <c r="H8">
        <v>63</v>
      </c>
      <c r="I8">
        <v>107.253342</v>
      </c>
      <c r="J8">
        <v>98</v>
      </c>
      <c r="K8">
        <v>42.632365999999998</v>
      </c>
      <c r="L8">
        <v>140</v>
      </c>
      <c r="M8">
        <v>19.202119999999997</v>
      </c>
      <c r="N8">
        <v>71</v>
      </c>
      <c r="O8">
        <v>8.8035667999999987</v>
      </c>
      <c r="P8" s="3">
        <f t="shared" si="0"/>
        <v>63426.283496799988</v>
      </c>
    </row>
    <row r="9" spans="1:19" x14ac:dyDescent="0.2">
      <c r="A9">
        <v>4000</v>
      </c>
      <c r="B9">
        <v>13</v>
      </c>
      <c r="C9">
        <v>910.93981999999994</v>
      </c>
      <c r="D9">
        <v>9</v>
      </c>
      <c r="E9">
        <v>711.96776</v>
      </c>
      <c r="F9">
        <v>19</v>
      </c>
      <c r="G9">
        <v>293.47611999999998</v>
      </c>
      <c r="H9">
        <v>43</v>
      </c>
      <c r="I9">
        <v>107.253342</v>
      </c>
      <c r="J9">
        <v>73</v>
      </c>
      <c r="K9">
        <v>42.632365999999998</v>
      </c>
      <c r="L9">
        <v>98</v>
      </c>
      <c r="M9">
        <v>19.202119999999997</v>
      </c>
      <c r="N9">
        <v>52</v>
      </c>
      <c r="O9">
        <v>8.8035667999999987</v>
      </c>
      <c r="P9" s="3">
        <f t="shared" si="0"/>
        <v>33889.623437599992</v>
      </c>
    </row>
    <row r="10" spans="1:19" x14ac:dyDescent="0.2">
      <c r="A10">
        <v>5000</v>
      </c>
      <c r="B10">
        <v>39</v>
      </c>
      <c r="C10">
        <v>910.93981999999994</v>
      </c>
      <c r="D10">
        <v>83</v>
      </c>
      <c r="E10">
        <v>711.96776</v>
      </c>
      <c r="F10">
        <v>241</v>
      </c>
      <c r="G10">
        <v>293.47611999999998</v>
      </c>
      <c r="H10">
        <v>590</v>
      </c>
      <c r="I10">
        <v>107.253342</v>
      </c>
      <c r="J10">
        <v>1038</v>
      </c>
      <c r="K10">
        <v>42.632365999999998</v>
      </c>
      <c r="L10">
        <v>1007</v>
      </c>
      <c r="M10">
        <v>19.202119999999997</v>
      </c>
      <c r="N10">
        <v>564</v>
      </c>
      <c r="O10">
        <v>8.8035667999999987</v>
      </c>
      <c r="P10" s="3">
        <f t="shared" si="0"/>
        <v>297181.33618319995</v>
      </c>
    </row>
    <row r="11" spans="1:19" x14ac:dyDescent="0.2">
      <c r="A11">
        <v>10000</v>
      </c>
      <c r="B11">
        <v>6</v>
      </c>
      <c r="C11">
        <v>910.93981999999994</v>
      </c>
      <c r="D11">
        <v>27</v>
      </c>
      <c r="E11">
        <v>711.96776</v>
      </c>
      <c r="F11">
        <v>92</v>
      </c>
      <c r="G11">
        <v>293.47611999999998</v>
      </c>
      <c r="H11">
        <v>203</v>
      </c>
      <c r="I11">
        <v>107.253342</v>
      </c>
      <c r="J11">
        <v>377</v>
      </c>
      <c r="K11">
        <v>42.632365999999998</v>
      </c>
      <c r="L11">
        <v>432</v>
      </c>
      <c r="M11">
        <v>19.202119999999997</v>
      </c>
      <c r="N11">
        <v>268</v>
      </c>
      <c r="O11">
        <v>8.8035667999999987</v>
      </c>
      <c r="P11" s="3">
        <f t="shared" si="0"/>
        <v>100188.07363039999</v>
      </c>
      <c r="Q11" s="3">
        <f t="shared" ref="Q11:Q18" si="1">Q12+P11</f>
        <v>269893.33706439997</v>
      </c>
      <c r="R11">
        <v>3210000</v>
      </c>
      <c r="S11">
        <f t="shared" ref="S11:S20" si="2">(Q11/R11)*100</f>
        <v>8.4078921203862915</v>
      </c>
    </row>
    <row r="12" spans="1:19" x14ac:dyDescent="0.2">
      <c r="A12">
        <v>15000</v>
      </c>
      <c r="B12">
        <v>3</v>
      </c>
      <c r="C12">
        <v>910.93981999999994</v>
      </c>
      <c r="D12">
        <v>13</v>
      </c>
      <c r="E12">
        <v>711.96776</v>
      </c>
      <c r="F12">
        <v>42</v>
      </c>
      <c r="G12">
        <v>293.47611999999998</v>
      </c>
      <c r="H12">
        <v>138</v>
      </c>
      <c r="I12">
        <v>107.253342</v>
      </c>
      <c r="J12">
        <v>217</v>
      </c>
      <c r="K12">
        <v>42.632365999999998</v>
      </c>
      <c r="L12">
        <v>274</v>
      </c>
      <c r="M12">
        <v>19.202119999999997</v>
      </c>
      <c r="N12">
        <v>158</v>
      </c>
      <c r="O12">
        <v>8.8035667999999987</v>
      </c>
      <c r="P12" s="3">
        <f t="shared" si="0"/>
        <v>55018.926432399989</v>
      </c>
      <c r="Q12" s="3">
        <f t="shared" si="1"/>
        <v>169705.26343399996</v>
      </c>
      <c r="R12">
        <v>3210000</v>
      </c>
      <c r="S12">
        <f t="shared" si="2"/>
        <v>5.2867683312772575</v>
      </c>
    </row>
    <row r="13" spans="1:19" x14ac:dyDescent="0.2">
      <c r="A13">
        <v>20000</v>
      </c>
      <c r="B13">
        <v>2</v>
      </c>
      <c r="C13">
        <v>910.93981999999994</v>
      </c>
      <c r="D13">
        <v>9</v>
      </c>
      <c r="E13">
        <v>711.96776</v>
      </c>
      <c r="F13">
        <v>23</v>
      </c>
      <c r="G13">
        <v>293.47611999999998</v>
      </c>
      <c r="H13">
        <v>73</v>
      </c>
      <c r="I13">
        <v>107.253342</v>
      </c>
      <c r="J13">
        <v>125</v>
      </c>
      <c r="K13">
        <v>42.632365999999998</v>
      </c>
      <c r="L13">
        <v>159</v>
      </c>
      <c r="M13">
        <v>19.202119999999997</v>
      </c>
      <c r="N13">
        <v>84</v>
      </c>
      <c r="O13">
        <v>8.8035667999999987</v>
      </c>
      <c r="P13" s="3">
        <f t="shared" si="0"/>
        <v>31930.716647199995</v>
      </c>
      <c r="Q13" s="3">
        <f t="shared" si="1"/>
        <v>114686.33700159998</v>
      </c>
      <c r="R13">
        <v>3210000</v>
      </c>
      <c r="S13">
        <f t="shared" si="2"/>
        <v>3.5727830841619936</v>
      </c>
    </row>
    <row r="14" spans="1:19" x14ac:dyDescent="0.2">
      <c r="A14">
        <v>25000</v>
      </c>
      <c r="B14">
        <v>0</v>
      </c>
      <c r="C14">
        <v>910.93981999999994</v>
      </c>
      <c r="D14">
        <v>3</v>
      </c>
      <c r="E14">
        <v>711.96776</v>
      </c>
      <c r="F14">
        <v>14</v>
      </c>
      <c r="G14">
        <v>293.47611999999998</v>
      </c>
      <c r="H14">
        <v>44</v>
      </c>
      <c r="I14">
        <v>107.253342</v>
      </c>
      <c r="J14">
        <v>93</v>
      </c>
      <c r="K14">
        <v>42.632365999999998</v>
      </c>
      <c r="L14">
        <v>137</v>
      </c>
      <c r="M14">
        <v>19.202119999999997</v>
      </c>
      <c r="N14">
        <v>84</v>
      </c>
      <c r="O14">
        <v>8.8035667999999987</v>
      </c>
      <c r="P14" s="3">
        <f t="shared" si="0"/>
        <v>18298.716097199998</v>
      </c>
      <c r="Q14" s="3">
        <f t="shared" si="1"/>
        <v>82755.620354399987</v>
      </c>
      <c r="R14">
        <v>3210000</v>
      </c>
      <c r="S14">
        <f t="shared" si="2"/>
        <v>2.5780567088598128</v>
      </c>
    </row>
    <row r="15" spans="1:19" x14ac:dyDescent="0.2">
      <c r="A15">
        <v>30000</v>
      </c>
      <c r="B15">
        <v>3</v>
      </c>
      <c r="C15">
        <v>910.93981999999994</v>
      </c>
      <c r="D15">
        <v>2</v>
      </c>
      <c r="E15">
        <v>711.96776</v>
      </c>
      <c r="F15">
        <v>14</v>
      </c>
      <c r="G15">
        <v>293.47611999999998</v>
      </c>
      <c r="H15">
        <v>63</v>
      </c>
      <c r="I15">
        <v>107.253342</v>
      </c>
      <c r="J15">
        <v>141</v>
      </c>
      <c r="K15">
        <v>42.632365999999998</v>
      </c>
      <c r="L15">
        <v>137</v>
      </c>
      <c r="M15">
        <v>19.202119999999997</v>
      </c>
      <c r="N15">
        <v>96</v>
      </c>
      <c r="O15">
        <v>8.8035667999999987</v>
      </c>
      <c r="P15" s="3">
        <f t="shared" si="0"/>
        <v>24509.377664799998</v>
      </c>
      <c r="Q15" s="3">
        <f t="shared" si="1"/>
        <v>64456.904257199996</v>
      </c>
      <c r="R15">
        <v>3210000</v>
      </c>
      <c r="S15">
        <f t="shared" si="2"/>
        <v>2.0080032478878502</v>
      </c>
    </row>
    <row r="16" spans="1:19" x14ac:dyDescent="0.2">
      <c r="A16">
        <v>40000</v>
      </c>
      <c r="B16">
        <v>2</v>
      </c>
      <c r="C16">
        <v>910.93981999999994</v>
      </c>
      <c r="D16">
        <v>4</v>
      </c>
      <c r="E16">
        <v>711.96776</v>
      </c>
      <c r="F16">
        <v>6</v>
      </c>
      <c r="G16">
        <v>293.47611999999998</v>
      </c>
      <c r="H16">
        <v>42</v>
      </c>
      <c r="I16">
        <v>107.253342</v>
      </c>
      <c r="J16">
        <v>81</v>
      </c>
      <c r="K16">
        <v>42.632365999999998</v>
      </c>
      <c r="L16">
        <v>73</v>
      </c>
      <c r="M16">
        <v>19.202119999999997</v>
      </c>
      <c r="N16">
        <v>50</v>
      </c>
      <c r="O16">
        <v>8.8035667999999987</v>
      </c>
      <c r="P16" s="3">
        <f t="shared" si="0"/>
        <v>16230.40251</v>
      </c>
      <c r="Q16" s="3">
        <f t="shared" si="1"/>
        <v>39947.526592399998</v>
      </c>
      <c r="R16">
        <v>3210000</v>
      </c>
      <c r="S16">
        <f t="shared" si="2"/>
        <v>1.2444712334080996</v>
      </c>
    </row>
    <row r="17" spans="1:21" x14ac:dyDescent="0.2">
      <c r="A17">
        <v>50000</v>
      </c>
      <c r="B17">
        <v>0</v>
      </c>
      <c r="C17">
        <v>910.93981999999994</v>
      </c>
      <c r="D17">
        <v>2</v>
      </c>
      <c r="E17">
        <v>711.96776</v>
      </c>
      <c r="F17">
        <v>3</v>
      </c>
      <c r="G17">
        <v>293.47611999999998</v>
      </c>
      <c r="H17">
        <v>13</v>
      </c>
      <c r="I17">
        <v>107.253342</v>
      </c>
      <c r="J17">
        <v>52</v>
      </c>
      <c r="K17">
        <v>42.632365999999998</v>
      </c>
      <c r="L17">
        <v>43</v>
      </c>
      <c r="M17">
        <v>19.202119999999997</v>
      </c>
      <c r="N17">
        <v>36</v>
      </c>
      <c r="O17">
        <v>8.8035667999999987</v>
      </c>
      <c r="P17" s="3">
        <f t="shared" si="0"/>
        <v>7058.1599228000005</v>
      </c>
      <c r="Q17" s="3">
        <f t="shared" si="1"/>
        <v>23717.124082400001</v>
      </c>
      <c r="R17">
        <v>3210000</v>
      </c>
      <c r="S17">
        <f t="shared" si="2"/>
        <v>0.73885121752024929</v>
      </c>
    </row>
    <row r="18" spans="1:21" x14ac:dyDescent="0.2">
      <c r="A18">
        <v>60000</v>
      </c>
      <c r="B18">
        <v>1</v>
      </c>
      <c r="C18">
        <v>910.93981999999994</v>
      </c>
      <c r="D18">
        <v>0</v>
      </c>
      <c r="E18">
        <v>711.96776</v>
      </c>
      <c r="F18">
        <v>5</v>
      </c>
      <c r="G18">
        <v>293.47611999999998</v>
      </c>
      <c r="H18">
        <v>10</v>
      </c>
      <c r="I18">
        <v>107.253342</v>
      </c>
      <c r="J18">
        <v>31</v>
      </c>
      <c r="K18">
        <v>42.632365999999998</v>
      </c>
      <c r="L18">
        <v>39</v>
      </c>
      <c r="M18">
        <v>19.202119999999997</v>
      </c>
      <c r="N18">
        <v>15</v>
      </c>
      <c r="O18">
        <v>8.8035667999999987</v>
      </c>
      <c r="P18" s="3">
        <f t="shared" si="0"/>
        <v>5653.3933679999991</v>
      </c>
      <c r="Q18" s="3">
        <f t="shared" si="1"/>
        <v>16658.9641596</v>
      </c>
      <c r="R18">
        <v>3210000</v>
      </c>
      <c r="S18">
        <f t="shared" si="2"/>
        <v>0.518970846093458</v>
      </c>
    </row>
    <row r="19" spans="1:21" x14ac:dyDescent="0.2">
      <c r="A19">
        <v>70000</v>
      </c>
      <c r="B19">
        <v>0</v>
      </c>
      <c r="C19">
        <v>910.93981999999994</v>
      </c>
      <c r="D19">
        <v>1</v>
      </c>
      <c r="E19">
        <v>711.96776</v>
      </c>
      <c r="F19">
        <v>4</v>
      </c>
      <c r="G19">
        <v>293.47611999999998</v>
      </c>
      <c r="H19">
        <v>19</v>
      </c>
      <c r="I19">
        <v>107.253342</v>
      </c>
      <c r="J19">
        <v>37</v>
      </c>
      <c r="K19">
        <v>42.632365999999998</v>
      </c>
      <c r="L19">
        <v>48</v>
      </c>
      <c r="M19">
        <v>19.202119999999997</v>
      </c>
      <c r="N19">
        <v>32</v>
      </c>
      <c r="O19">
        <v>8.8035667999999987</v>
      </c>
      <c r="P19" s="3">
        <f t="shared" si="0"/>
        <v>6704.4991775999997</v>
      </c>
      <c r="Q19" s="3">
        <f>P20+P19</f>
        <v>11005.570791599999</v>
      </c>
      <c r="R19">
        <v>3210000</v>
      </c>
      <c r="S19">
        <f t="shared" si="2"/>
        <v>0.342852672635514</v>
      </c>
    </row>
    <row r="20" spans="1:21" x14ac:dyDescent="0.2">
      <c r="A20" t="s">
        <v>4</v>
      </c>
      <c r="B20">
        <v>0</v>
      </c>
      <c r="C20">
        <v>910.93981999999994</v>
      </c>
      <c r="D20">
        <v>0</v>
      </c>
      <c r="E20">
        <v>711.96776</v>
      </c>
      <c r="F20">
        <v>3</v>
      </c>
      <c r="G20">
        <v>293.47611999999998</v>
      </c>
      <c r="H20">
        <v>10</v>
      </c>
      <c r="I20">
        <v>107.253342</v>
      </c>
      <c r="J20">
        <v>27</v>
      </c>
      <c r="K20">
        <v>42.632365999999998</v>
      </c>
      <c r="L20">
        <v>44</v>
      </c>
      <c r="M20">
        <v>19.202119999999997</v>
      </c>
      <c r="N20">
        <v>40</v>
      </c>
      <c r="O20">
        <v>8.8035667999999987</v>
      </c>
      <c r="P20" s="3">
        <f t="shared" si="0"/>
        <v>4301.0716139999995</v>
      </c>
      <c r="Q20" s="3">
        <f>P20</f>
        <v>4301.0716139999995</v>
      </c>
      <c r="R20">
        <v>3210000</v>
      </c>
      <c r="S20">
        <f t="shared" si="2"/>
        <v>0.13398976990654204</v>
      </c>
    </row>
    <row r="21" spans="1:21" x14ac:dyDescent="0.2">
      <c r="A21" t="s">
        <v>3</v>
      </c>
      <c r="B21">
        <f t="shared" ref="B21:N21" si="3">SUM(B6:B20)</f>
        <v>102</v>
      </c>
      <c r="C21">
        <v>910.93981999999994</v>
      </c>
      <c r="D21">
        <f t="shared" si="3"/>
        <v>186</v>
      </c>
      <c r="E21">
        <v>711.96776</v>
      </c>
      <c r="F21">
        <f t="shared" si="3"/>
        <v>510</v>
      </c>
      <c r="G21">
        <v>293.47611999999998</v>
      </c>
      <c r="H21">
        <f t="shared" si="3"/>
        <v>1349</v>
      </c>
      <c r="I21">
        <v>107.253342</v>
      </c>
      <c r="J21">
        <f t="shared" si="3"/>
        <v>2424</v>
      </c>
      <c r="K21">
        <v>42.632365999999998</v>
      </c>
      <c r="L21">
        <f t="shared" si="3"/>
        <v>2676</v>
      </c>
      <c r="M21">
        <v>19.202119999999997</v>
      </c>
      <c r="N21">
        <f t="shared" si="3"/>
        <v>1573</v>
      </c>
      <c r="O21">
        <v>8.8035667999999987</v>
      </c>
      <c r="P21" s="3">
        <f>SUM(P6:P20)</f>
        <v>688273.18343840027</v>
      </c>
    </row>
    <row r="28" spans="1:21" ht="15" x14ac:dyDescent="0.25">
      <c r="A28" s="2" t="s">
        <v>24</v>
      </c>
    </row>
    <row r="29" spans="1:21" x14ac:dyDescent="0.2">
      <c r="G29" t="s">
        <v>25</v>
      </c>
    </row>
    <row r="31" spans="1:21" ht="15" x14ac:dyDescent="0.25">
      <c r="A31" t="s">
        <v>26</v>
      </c>
      <c r="B31" s="2" t="s">
        <v>27</v>
      </c>
      <c r="C31" t="s">
        <v>28</v>
      </c>
      <c r="D31" t="s">
        <v>29</v>
      </c>
      <c r="E31" t="s">
        <v>30</v>
      </c>
      <c r="F31" t="s">
        <v>31</v>
      </c>
      <c r="G31" t="s">
        <v>32</v>
      </c>
      <c r="H31" t="s">
        <v>33</v>
      </c>
      <c r="I31" t="s">
        <v>34</v>
      </c>
      <c r="J31" t="s">
        <v>35</v>
      </c>
      <c r="K31" s="2" t="s">
        <v>36</v>
      </c>
      <c r="L31" s="2" t="s">
        <v>37</v>
      </c>
      <c r="M31" s="5" t="s">
        <v>38</v>
      </c>
      <c r="N31" s="2" t="s">
        <v>39</v>
      </c>
      <c r="O31" s="5" t="s">
        <v>40</v>
      </c>
      <c r="P31" s="2" t="s">
        <v>41</v>
      </c>
      <c r="Q31" s="5" t="s">
        <v>42</v>
      </c>
      <c r="R31" s="2" t="s">
        <v>43</v>
      </c>
      <c r="S31" s="2" t="s">
        <v>84</v>
      </c>
      <c r="T31" s="2"/>
      <c r="U31" s="2"/>
    </row>
    <row r="32" spans="1:21" ht="15" x14ac:dyDescent="0.25">
      <c r="A32" t="s">
        <v>4</v>
      </c>
      <c r="B32" s="6">
        <v>5.0000000000000001E-4</v>
      </c>
      <c r="C32" s="4" t="s">
        <v>69</v>
      </c>
      <c r="K32" s="4">
        <v>2.634155810381694</v>
      </c>
      <c r="L32" s="4">
        <v>8116.2458116753569</v>
      </c>
      <c r="M32" s="20">
        <f t="shared" ref="M32:M37" si="4">POWER(B32,1/K32)</f>
        <v>5.5825897014825862E-2</v>
      </c>
      <c r="N32" s="8">
        <f t="shared" ref="N32:N37" si="5">L32/M32</f>
        <v>145384.9601291655</v>
      </c>
      <c r="O32" s="5">
        <v>3210000</v>
      </c>
      <c r="P32" s="8">
        <f>O32*(K32/(1-K32))*POWER(L32,K32)*(-1)*POWER(N32,1-K32)</f>
        <v>376133933.63630867</v>
      </c>
      <c r="Q32" s="9">
        <f t="shared" ref="Q32:Q37" si="6">B32*O32</f>
        <v>1605</v>
      </c>
      <c r="R32" s="8">
        <f t="shared" ref="R32:R37" si="7">P32/Q32</f>
        <v>234351.36052106461</v>
      </c>
      <c r="S32" s="4">
        <f t="shared" ref="S32:S37" si="8">P32*20.8289*1.23</f>
        <v>9636380991.090292</v>
      </c>
      <c r="T32" s="2"/>
      <c r="U32" s="10"/>
    </row>
    <row r="33" spans="1:21" ht="15" x14ac:dyDescent="0.25">
      <c r="A33" t="s">
        <v>4</v>
      </c>
      <c r="B33" s="6">
        <v>1E-3</v>
      </c>
      <c r="C33" s="4" t="s">
        <v>69</v>
      </c>
      <c r="K33" s="4">
        <v>2.634155810381694</v>
      </c>
      <c r="L33" s="4">
        <v>8116.2458116753569</v>
      </c>
      <c r="M33" s="20">
        <f t="shared" si="4"/>
        <v>7.2629859668148403E-2</v>
      </c>
      <c r="N33" s="8">
        <f t="shared" si="5"/>
        <v>111748.05856377981</v>
      </c>
      <c r="O33" s="5">
        <v>3210000</v>
      </c>
      <c r="P33" s="8">
        <f>O33*(K33/(1-K33))*POWER(L33,K33)*(POWER(N32,1-K33)-POWER(N33,1-K33))+P32</f>
        <v>578219876.47789776</v>
      </c>
      <c r="Q33" s="9">
        <f t="shared" si="6"/>
        <v>3210</v>
      </c>
      <c r="R33" s="8">
        <f t="shared" si="7"/>
        <v>180130.80264108966</v>
      </c>
      <c r="S33" s="4">
        <f t="shared" si="8"/>
        <v>14813731301.759695</v>
      </c>
      <c r="T33" s="2"/>
      <c r="U33" s="10"/>
    </row>
    <row r="34" spans="1:21" ht="15" x14ac:dyDescent="0.25">
      <c r="A34" t="s">
        <v>59</v>
      </c>
      <c r="B34" s="6">
        <v>2.5000000000000001E-3</v>
      </c>
      <c r="C34">
        <f>S20/100</f>
        <v>1.3398976990654204E-3</v>
      </c>
      <c r="D34">
        <f>S19/100</f>
        <v>3.42852672635514E-3</v>
      </c>
      <c r="E34">
        <v>100000</v>
      </c>
      <c r="F34">
        <v>70000</v>
      </c>
      <c r="G34">
        <f>D34/C34</f>
        <v>2.5587973833722826</v>
      </c>
      <c r="H34">
        <f>LN(G34)</f>
        <v>0.93953737599377696</v>
      </c>
      <c r="I34">
        <f>E34/F34</f>
        <v>1.4285714285714286</v>
      </c>
      <c r="J34">
        <f>LN(I34)</f>
        <v>0.35667494393873239</v>
      </c>
      <c r="K34" s="4">
        <f>H34/J34</f>
        <v>2.634155810381694</v>
      </c>
      <c r="L34" s="4">
        <f>F34*POWER(D34,1/K34)</f>
        <v>8116.2458116753569</v>
      </c>
      <c r="M34" s="20">
        <f t="shared" si="4"/>
        <v>0.10284530728113189</v>
      </c>
      <c r="N34" s="8">
        <f t="shared" si="5"/>
        <v>78917.026223561799</v>
      </c>
      <c r="O34" s="5">
        <v>3210000</v>
      </c>
      <c r="P34" s="8">
        <f>O34*(K34/(1-K34))*POWER(L34,K34)*(POWER(N33,1-K34)-POWER(N34,1-K34))+P33</f>
        <v>1020854271.2387931</v>
      </c>
      <c r="Q34" s="9">
        <f t="shared" si="6"/>
        <v>8025</v>
      </c>
      <c r="R34" s="8">
        <f t="shared" si="7"/>
        <v>127209.25498302719</v>
      </c>
      <c r="S34" s="4">
        <f t="shared" si="8"/>
        <v>26153823982.153011</v>
      </c>
      <c r="T34" s="2"/>
      <c r="U34" s="10"/>
    </row>
    <row r="35" spans="1:21" ht="15" x14ac:dyDescent="0.25">
      <c r="A35" t="s">
        <v>66</v>
      </c>
      <c r="B35" s="6">
        <v>5.0000000000000001E-3</v>
      </c>
      <c r="C35">
        <f>S19/100</f>
        <v>3.42852672635514E-3</v>
      </c>
      <c r="D35">
        <f>S18/100</f>
        <v>5.1897084609345799E-3</v>
      </c>
      <c r="E35">
        <v>70000</v>
      </c>
      <c r="F35">
        <v>60000</v>
      </c>
      <c r="G35">
        <f>D35/C35</f>
        <v>1.5136847034153789</v>
      </c>
      <c r="H35">
        <f>LN(G35)</f>
        <v>0.41454687930847339</v>
      </c>
      <c r="I35">
        <f>E35/F35</f>
        <v>1.1666666666666667</v>
      </c>
      <c r="J35">
        <f>LN(I35)</f>
        <v>0.15415067982725836</v>
      </c>
      <c r="K35" s="4">
        <f>H35/J35</f>
        <v>2.6892315997115008</v>
      </c>
      <c r="L35" s="4">
        <f>F35*POWER(D35,1/K35)</f>
        <v>8482.4111406007705</v>
      </c>
      <c r="M35" s="20">
        <f t="shared" si="4"/>
        <v>0.13942931662685032</v>
      </c>
      <c r="N35" s="8">
        <f t="shared" si="5"/>
        <v>60836.639996608057</v>
      </c>
      <c r="O35" s="5">
        <v>3210000</v>
      </c>
      <c r="P35" s="8">
        <f>O35*(K35/(1-K35))*POWER(L35,K35)*(POWER(N34,1-K35)-POWER(N35,1-K35))+P34</f>
        <v>1573730540.9993293</v>
      </c>
      <c r="Q35" s="9">
        <f t="shared" si="6"/>
        <v>16050</v>
      </c>
      <c r="R35" s="8">
        <f t="shared" si="7"/>
        <v>98051.747102761947</v>
      </c>
      <c r="S35" s="4">
        <f t="shared" si="8"/>
        <v>40318263560.467743</v>
      </c>
      <c r="T35" s="2"/>
      <c r="U35" s="10"/>
    </row>
    <row r="36" spans="1:21" ht="15" x14ac:dyDescent="0.25">
      <c r="A36" t="s">
        <v>65</v>
      </c>
      <c r="B36" s="6">
        <v>0.01</v>
      </c>
      <c r="C36">
        <f>S17/100</f>
        <v>7.388512175202493E-3</v>
      </c>
      <c r="D36">
        <f>S16/100</f>
        <v>1.2444712334080996E-2</v>
      </c>
      <c r="E36">
        <v>50000</v>
      </c>
      <c r="F36">
        <v>40000</v>
      </c>
      <c r="G36">
        <f>D36/C36</f>
        <v>1.6843326557474245</v>
      </c>
      <c r="H36">
        <f>LN(G36)</f>
        <v>0.52136943535428104</v>
      </c>
      <c r="I36">
        <f>E36/F36</f>
        <v>1.25</v>
      </c>
      <c r="J36">
        <f>LN(I36)</f>
        <v>0.22314355131420976</v>
      </c>
      <c r="K36" s="4">
        <f>H36/J36</f>
        <v>2.3364754763633639</v>
      </c>
      <c r="L36" s="4">
        <f>F36*POWER(D36,1/K36)</f>
        <v>6119.5979695150172</v>
      </c>
      <c r="M36" s="20">
        <f t="shared" si="4"/>
        <v>0.13931883917982893</v>
      </c>
      <c r="N36" s="8">
        <f t="shared" si="5"/>
        <v>43925.128902459546</v>
      </c>
      <c r="O36" s="5">
        <v>3210000</v>
      </c>
      <c r="P36" s="8">
        <f>O36*(K36/(1-K36))*POWER(L36,K36)*(POWER(N35,1-K36)-POWER(N36,1-K36))+P35</f>
        <v>2443700731.398459</v>
      </c>
      <c r="Q36" s="9">
        <f t="shared" si="6"/>
        <v>32100</v>
      </c>
      <c r="R36" s="8">
        <f t="shared" si="7"/>
        <v>76127.74864169654</v>
      </c>
      <c r="S36" s="4">
        <f t="shared" si="8"/>
        <v>62606505741.9972</v>
      </c>
      <c r="T36" s="2"/>
      <c r="U36" s="10"/>
    </row>
    <row r="37" spans="1:21" ht="15" x14ac:dyDescent="0.25">
      <c r="A37" t="s">
        <v>46</v>
      </c>
      <c r="B37" s="6">
        <v>0.02</v>
      </c>
      <c r="C37">
        <f>S16/100</f>
        <v>1.2444712334080996E-2</v>
      </c>
      <c r="D37">
        <f>S15/100</f>
        <v>2.0080032478878504E-2</v>
      </c>
      <c r="E37">
        <v>40000</v>
      </c>
      <c r="F37">
        <v>30000</v>
      </c>
      <c r="G37">
        <f>D37/C37</f>
        <v>1.6135393040695267</v>
      </c>
      <c r="H37">
        <f>LN(G37)</f>
        <v>0.47843009172327927</v>
      </c>
      <c r="I37">
        <f>E37/F37</f>
        <v>1.3333333333333333</v>
      </c>
      <c r="J37">
        <f>LN(I37)</f>
        <v>0.28768207245178085</v>
      </c>
      <c r="K37" s="4">
        <f>H37/J37</f>
        <v>1.6630514638810878</v>
      </c>
      <c r="L37" s="4">
        <f>F37*POWER(D37,1/K37)</f>
        <v>2861.3184364616218</v>
      </c>
      <c r="M37" s="20">
        <f t="shared" si="4"/>
        <v>9.5148517745643882E-2</v>
      </c>
      <c r="N37" s="8">
        <f t="shared" si="5"/>
        <v>30072.128334260044</v>
      </c>
      <c r="O37" s="5">
        <v>3210000</v>
      </c>
      <c r="P37" s="8">
        <f>O37*(K37/(1-K37))*POWER(L37,K37)*(POWER(N36,1-K37)-POWER(N37,1-K37))+P36</f>
        <v>3519434422.8175378</v>
      </c>
      <c r="Q37" s="9">
        <f t="shared" si="6"/>
        <v>64200</v>
      </c>
      <c r="R37" s="8">
        <f t="shared" si="7"/>
        <v>54819.850822703083</v>
      </c>
      <c r="S37" s="4">
        <f t="shared" si="8"/>
        <v>90166315608.791779</v>
      </c>
      <c r="T37" s="2"/>
      <c r="U37" s="10"/>
    </row>
    <row r="45" spans="1:21" ht="15.75" x14ac:dyDescent="0.25">
      <c r="A45" s="1" t="s">
        <v>51</v>
      </c>
    </row>
    <row r="47" spans="1:21" ht="15" x14ac:dyDescent="0.25">
      <c r="A47" s="2" t="s">
        <v>18</v>
      </c>
    </row>
    <row r="49" spans="1:19" x14ac:dyDescent="0.2">
      <c r="A49" t="s">
        <v>0</v>
      </c>
      <c r="B49" t="s">
        <v>52</v>
      </c>
      <c r="C49" t="s">
        <v>19</v>
      </c>
      <c r="D49" t="s">
        <v>53</v>
      </c>
      <c r="E49" t="s">
        <v>19</v>
      </c>
      <c r="F49" t="s">
        <v>54</v>
      </c>
      <c r="G49" t="s">
        <v>19</v>
      </c>
      <c r="H49" t="s">
        <v>55</v>
      </c>
      <c r="I49" t="s">
        <v>19</v>
      </c>
      <c r="J49" t="s">
        <v>56</v>
      </c>
      <c r="K49" t="s">
        <v>19</v>
      </c>
      <c r="L49" t="s">
        <v>57</v>
      </c>
      <c r="M49" t="s">
        <v>19</v>
      </c>
      <c r="N49" t="s">
        <v>58</v>
      </c>
      <c r="O49" t="s">
        <v>19</v>
      </c>
      <c r="P49" t="s">
        <v>20</v>
      </c>
      <c r="Q49" t="s">
        <v>21</v>
      </c>
      <c r="R49" t="s">
        <v>22</v>
      </c>
      <c r="S49" t="s">
        <v>23</v>
      </c>
    </row>
    <row r="50" spans="1:19" x14ac:dyDescent="0.2">
      <c r="A50">
        <v>1000</v>
      </c>
      <c r="B50">
        <v>0</v>
      </c>
      <c r="C50">
        <v>2135.0056</v>
      </c>
      <c r="D50">
        <v>1</v>
      </c>
      <c r="E50">
        <v>1146.8415</v>
      </c>
      <c r="F50">
        <v>0</v>
      </c>
      <c r="G50">
        <v>468.82331999999997</v>
      </c>
      <c r="H50">
        <v>0</v>
      </c>
      <c r="I50">
        <v>207.17256</v>
      </c>
      <c r="J50">
        <v>3</v>
      </c>
      <c r="K50">
        <v>80.238157999999999</v>
      </c>
      <c r="L50">
        <v>2</v>
      </c>
      <c r="M50">
        <v>29.577351999999998</v>
      </c>
      <c r="N50">
        <v>3</v>
      </c>
      <c r="O50">
        <v>10.4515894</v>
      </c>
      <c r="P50" s="3">
        <f>(B50*C50)+(D50*E50)+(F50*G50)+(H50*I50)+(J50*K50)+(L50*M50)+(N50*O50)</f>
        <v>1478.0654462</v>
      </c>
      <c r="Q50" s="3"/>
    </row>
    <row r="51" spans="1:19" x14ac:dyDescent="0.2">
      <c r="A51">
        <v>2000</v>
      </c>
      <c r="B51">
        <v>0</v>
      </c>
      <c r="C51">
        <v>2135.0056</v>
      </c>
      <c r="D51">
        <v>1</v>
      </c>
      <c r="E51">
        <v>1146.8415</v>
      </c>
      <c r="F51">
        <v>10</v>
      </c>
      <c r="G51">
        <v>468.82331999999997</v>
      </c>
      <c r="H51">
        <v>9</v>
      </c>
      <c r="I51">
        <v>207.17256</v>
      </c>
      <c r="J51">
        <v>28</v>
      </c>
      <c r="K51">
        <v>80.238157999999999</v>
      </c>
      <c r="L51">
        <v>48</v>
      </c>
      <c r="M51">
        <v>29.577351999999998</v>
      </c>
      <c r="N51">
        <v>58</v>
      </c>
      <c r="O51">
        <v>10.4515894</v>
      </c>
      <c r="P51" s="3">
        <f t="shared" ref="P51:P65" si="9">(B51*C51)+(D51*E51)+(F51*G51)+(H51*I51)+(J51*K51)+(L51*M51)+(N51*O51)</f>
        <v>11972.2012452</v>
      </c>
      <c r="Q51" s="3"/>
    </row>
    <row r="52" spans="1:19" x14ac:dyDescent="0.2">
      <c r="A52">
        <v>3000</v>
      </c>
      <c r="B52">
        <v>2</v>
      </c>
      <c r="C52">
        <v>2135.0056</v>
      </c>
      <c r="D52">
        <v>4</v>
      </c>
      <c r="E52">
        <v>1146.8415</v>
      </c>
      <c r="F52">
        <v>12</v>
      </c>
      <c r="G52">
        <v>468.82331999999997</v>
      </c>
      <c r="H52">
        <v>42</v>
      </c>
      <c r="I52">
        <v>207.17256</v>
      </c>
      <c r="J52">
        <v>92</v>
      </c>
      <c r="K52">
        <v>80.238157999999999</v>
      </c>
      <c r="L52">
        <v>179</v>
      </c>
      <c r="M52">
        <v>29.577351999999998</v>
      </c>
      <c r="N52">
        <v>168</v>
      </c>
      <c r="O52">
        <v>10.4515894</v>
      </c>
      <c r="P52" s="3">
        <f t="shared" si="9"/>
        <v>37616.628123199996</v>
      </c>
      <c r="Q52" s="3"/>
    </row>
    <row r="53" spans="1:19" x14ac:dyDescent="0.2">
      <c r="A53">
        <v>4000</v>
      </c>
      <c r="B53">
        <v>1</v>
      </c>
      <c r="C53">
        <v>2135.0056</v>
      </c>
      <c r="D53">
        <v>4</v>
      </c>
      <c r="E53">
        <v>1146.8415</v>
      </c>
      <c r="F53">
        <v>17</v>
      </c>
      <c r="G53">
        <v>468.82331999999997</v>
      </c>
      <c r="H53">
        <v>18</v>
      </c>
      <c r="I53">
        <v>207.17256</v>
      </c>
      <c r="J53">
        <v>53</v>
      </c>
      <c r="K53">
        <v>80.238157999999999</v>
      </c>
      <c r="L53">
        <v>128</v>
      </c>
      <c r="M53">
        <v>29.577351999999998</v>
      </c>
      <c r="N53">
        <v>119</v>
      </c>
      <c r="O53">
        <v>10.4515894</v>
      </c>
      <c r="P53" s="3">
        <f t="shared" si="9"/>
        <v>27703.736688599995</v>
      </c>
      <c r="Q53" s="3"/>
    </row>
    <row r="54" spans="1:19" x14ac:dyDescent="0.2">
      <c r="A54">
        <v>5000</v>
      </c>
      <c r="B54">
        <v>4</v>
      </c>
      <c r="C54">
        <v>2135.0056</v>
      </c>
      <c r="D54">
        <v>11</v>
      </c>
      <c r="E54">
        <v>1146.8415</v>
      </c>
      <c r="F54">
        <v>57</v>
      </c>
      <c r="G54">
        <v>468.82331999999997</v>
      </c>
      <c r="H54">
        <v>190</v>
      </c>
      <c r="I54">
        <v>207.17256</v>
      </c>
      <c r="J54">
        <v>443</v>
      </c>
      <c r="K54">
        <v>80.238157999999999</v>
      </c>
      <c r="L54">
        <v>748</v>
      </c>
      <c r="M54">
        <v>29.577351999999998</v>
      </c>
      <c r="N54">
        <v>708</v>
      </c>
      <c r="O54">
        <v>10.4515894</v>
      </c>
      <c r="P54" s="3">
        <f t="shared" si="9"/>
        <v>152310.08312520001</v>
      </c>
      <c r="Q54" s="3">
        <f t="shared" ref="Q54:Q62" si="10">Q55+P54</f>
        <v>265024.38576039998</v>
      </c>
      <c r="R54">
        <v>3192400</v>
      </c>
      <c r="S54">
        <f>Q54/R54*100</f>
        <v>8.3017286605813805</v>
      </c>
    </row>
    <row r="55" spans="1:19" x14ac:dyDescent="0.2">
      <c r="A55">
        <v>10000</v>
      </c>
      <c r="B55">
        <v>1</v>
      </c>
      <c r="C55">
        <v>2135.0056</v>
      </c>
      <c r="D55">
        <v>2</v>
      </c>
      <c r="E55">
        <v>1146.8415</v>
      </c>
      <c r="F55">
        <v>14</v>
      </c>
      <c r="G55">
        <v>468.82331999999997</v>
      </c>
      <c r="H55">
        <v>58</v>
      </c>
      <c r="I55">
        <v>207.17256</v>
      </c>
      <c r="J55">
        <v>147</v>
      </c>
      <c r="K55">
        <v>80.238157999999999</v>
      </c>
      <c r="L55">
        <v>249</v>
      </c>
      <c r="M55">
        <v>29.577351999999998</v>
      </c>
      <c r="N55">
        <v>246</v>
      </c>
      <c r="O55">
        <v>10.4515894</v>
      </c>
      <c r="P55" s="3">
        <f t="shared" si="9"/>
        <v>44739.084426400004</v>
      </c>
      <c r="Q55" s="3">
        <f t="shared" si="10"/>
        <v>112714.3026352</v>
      </c>
      <c r="R55">
        <v>3192400</v>
      </c>
      <c r="S55">
        <f>Q55/R55*100</f>
        <v>3.5307073873950636</v>
      </c>
    </row>
    <row r="56" spans="1:19" x14ac:dyDescent="0.2">
      <c r="A56">
        <v>15000</v>
      </c>
      <c r="B56">
        <v>1</v>
      </c>
      <c r="C56">
        <v>2135.0056</v>
      </c>
      <c r="D56">
        <v>1</v>
      </c>
      <c r="E56">
        <v>1146.8415</v>
      </c>
      <c r="F56">
        <v>9</v>
      </c>
      <c r="G56">
        <v>468.82331999999997</v>
      </c>
      <c r="H56">
        <v>35</v>
      </c>
      <c r="I56">
        <v>207.17256</v>
      </c>
      <c r="J56">
        <v>69</v>
      </c>
      <c r="K56">
        <v>80.238157999999999</v>
      </c>
      <c r="L56">
        <v>119</v>
      </c>
      <c r="M56">
        <v>29.577351999999998</v>
      </c>
      <c r="N56">
        <v>138</v>
      </c>
      <c r="O56">
        <v>10.4515894</v>
      </c>
      <c r="P56" s="3">
        <f t="shared" si="9"/>
        <v>25250.753707199998</v>
      </c>
      <c r="Q56" s="3">
        <f t="shared" si="10"/>
        <v>67975.218208799997</v>
      </c>
      <c r="R56">
        <v>3192400</v>
      </c>
      <c r="S56">
        <f>Q56/R56*100</f>
        <v>2.1292826152361859</v>
      </c>
    </row>
    <row r="57" spans="1:19" x14ac:dyDescent="0.2">
      <c r="A57">
        <v>20000</v>
      </c>
      <c r="B57">
        <v>0</v>
      </c>
      <c r="C57">
        <v>2135.0056</v>
      </c>
      <c r="D57">
        <v>2</v>
      </c>
      <c r="E57">
        <v>1146.8415</v>
      </c>
      <c r="F57">
        <v>4</v>
      </c>
      <c r="G57">
        <v>468.82331999999997</v>
      </c>
      <c r="H57">
        <v>18</v>
      </c>
      <c r="I57">
        <v>207.17256</v>
      </c>
      <c r="J57">
        <v>49</v>
      </c>
      <c r="K57">
        <v>80.238157999999999</v>
      </c>
      <c r="L57">
        <v>61</v>
      </c>
      <c r="M57">
        <v>29.577351999999998</v>
      </c>
      <c r="N57">
        <v>81</v>
      </c>
      <c r="O57">
        <v>10.4515894</v>
      </c>
      <c r="P57" s="3">
        <f t="shared" si="9"/>
        <v>14480.549315400001</v>
      </c>
      <c r="Q57" s="3">
        <f t="shared" si="10"/>
        <v>42724.464501599999</v>
      </c>
      <c r="R57">
        <v>3192400</v>
      </c>
      <c r="S57">
        <f t="shared" ref="S57:S63" si="11">Q57/R57*100</f>
        <v>1.3383180209748151</v>
      </c>
    </row>
    <row r="58" spans="1:19" x14ac:dyDescent="0.2">
      <c r="A58">
        <v>25000</v>
      </c>
      <c r="B58">
        <v>0</v>
      </c>
      <c r="C58">
        <v>2135.0056</v>
      </c>
      <c r="D58">
        <v>1</v>
      </c>
      <c r="E58">
        <v>1146.8415</v>
      </c>
      <c r="F58">
        <v>1</v>
      </c>
      <c r="G58">
        <v>468.82331999999997</v>
      </c>
      <c r="H58">
        <v>6</v>
      </c>
      <c r="I58">
        <v>207.17256</v>
      </c>
      <c r="J58">
        <v>17</v>
      </c>
      <c r="K58">
        <v>80.238157999999999</v>
      </c>
      <c r="L58">
        <v>50</v>
      </c>
      <c r="M58">
        <v>29.577351999999998</v>
      </c>
      <c r="N58">
        <v>50</v>
      </c>
      <c r="O58">
        <v>10.4515894</v>
      </c>
      <c r="P58" s="3">
        <f t="shared" si="9"/>
        <v>6224.1959359999992</v>
      </c>
      <c r="Q58" s="3">
        <f t="shared" si="10"/>
        <v>28243.9151862</v>
      </c>
      <c r="R58">
        <v>3192400</v>
      </c>
      <c r="S58">
        <f t="shared" si="11"/>
        <v>0.88472356804285179</v>
      </c>
    </row>
    <row r="59" spans="1:19" x14ac:dyDescent="0.2">
      <c r="A59">
        <v>30000</v>
      </c>
      <c r="B59">
        <v>1</v>
      </c>
      <c r="C59">
        <v>2135.0056</v>
      </c>
      <c r="D59">
        <v>1</v>
      </c>
      <c r="E59">
        <v>1146.8415</v>
      </c>
      <c r="F59">
        <v>6</v>
      </c>
      <c r="G59">
        <v>468.82331999999997</v>
      </c>
      <c r="H59">
        <v>6</v>
      </c>
      <c r="I59">
        <v>207.17256</v>
      </c>
      <c r="J59">
        <v>26</v>
      </c>
      <c r="K59">
        <v>80.238157999999999</v>
      </c>
      <c r="L59">
        <v>50</v>
      </c>
      <c r="M59">
        <v>29.577351999999998</v>
      </c>
      <c r="N59">
        <v>52</v>
      </c>
      <c r="O59">
        <v>10.4515894</v>
      </c>
      <c r="P59" s="3">
        <f t="shared" si="9"/>
        <v>11446.3647368</v>
      </c>
      <c r="Q59" s="3">
        <f t="shared" si="10"/>
        <v>22019.7192502</v>
      </c>
      <c r="R59">
        <v>3192400</v>
      </c>
      <c r="S59">
        <f t="shared" si="11"/>
        <v>0.68975439325272525</v>
      </c>
    </row>
    <row r="60" spans="1:19" x14ac:dyDescent="0.2">
      <c r="A60">
        <v>40000</v>
      </c>
      <c r="B60">
        <v>0</v>
      </c>
      <c r="C60">
        <v>2135.0056</v>
      </c>
      <c r="D60">
        <v>0</v>
      </c>
      <c r="E60">
        <v>1146.8415</v>
      </c>
      <c r="F60">
        <v>1</v>
      </c>
      <c r="G60">
        <v>468.82331999999997</v>
      </c>
      <c r="H60">
        <v>4</v>
      </c>
      <c r="I60">
        <v>207.17256</v>
      </c>
      <c r="J60">
        <v>17</v>
      </c>
      <c r="K60">
        <v>80.238157999999999</v>
      </c>
      <c r="L60">
        <v>27</v>
      </c>
      <c r="M60">
        <v>29.577351999999998</v>
      </c>
      <c r="N60">
        <v>22</v>
      </c>
      <c r="O60">
        <v>10.4515894</v>
      </c>
      <c r="P60" s="3">
        <f t="shared" si="9"/>
        <v>3690.0857167999998</v>
      </c>
      <c r="Q60" s="3">
        <f t="shared" si="10"/>
        <v>10573.3545134</v>
      </c>
      <c r="R60">
        <v>3192400</v>
      </c>
      <c r="S60">
        <f t="shared" si="11"/>
        <v>0.33120393789625358</v>
      </c>
    </row>
    <row r="61" spans="1:19" x14ac:dyDescent="0.2">
      <c r="A61">
        <v>50000</v>
      </c>
      <c r="B61">
        <v>0</v>
      </c>
      <c r="C61">
        <v>2135.0056</v>
      </c>
      <c r="D61">
        <v>1</v>
      </c>
      <c r="E61">
        <v>1146.8415</v>
      </c>
      <c r="F61">
        <v>0</v>
      </c>
      <c r="G61">
        <v>468.82331999999997</v>
      </c>
      <c r="H61">
        <v>3</v>
      </c>
      <c r="I61">
        <v>207.17256</v>
      </c>
      <c r="J61">
        <v>7</v>
      </c>
      <c r="K61">
        <v>80.238157999999999</v>
      </c>
      <c r="L61">
        <v>10</v>
      </c>
      <c r="M61">
        <v>29.577351999999998</v>
      </c>
      <c r="N61">
        <v>18</v>
      </c>
      <c r="O61">
        <v>10.4515894</v>
      </c>
      <c r="P61" s="3">
        <f t="shared" si="9"/>
        <v>2813.9284152</v>
      </c>
      <c r="Q61" s="3">
        <f t="shared" si="10"/>
        <v>6883.2687965999994</v>
      </c>
      <c r="R61">
        <v>3192400</v>
      </c>
      <c r="S61">
        <f t="shared" si="11"/>
        <v>0.21561423369878457</v>
      </c>
    </row>
    <row r="62" spans="1:19" x14ac:dyDescent="0.2">
      <c r="A62">
        <v>60000</v>
      </c>
      <c r="B62">
        <v>0</v>
      </c>
      <c r="C62">
        <v>2135.0056</v>
      </c>
      <c r="D62">
        <v>0</v>
      </c>
      <c r="E62">
        <v>1146.8415</v>
      </c>
      <c r="F62">
        <v>0</v>
      </c>
      <c r="G62">
        <v>468.82331999999997</v>
      </c>
      <c r="H62">
        <v>2</v>
      </c>
      <c r="I62">
        <v>207.17256</v>
      </c>
      <c r="J62">
        <v>2</v>
      </c>
      <c r="K62">
        <v>80.238157999999999</v>
      </c>
      <c r="L62">
        <v>12</v>
      </c>
      <c r="M62">
        <v>29.577351999999998</v>
      </c>
      <c r="N62">
        <v>14</v>
      </c>
      <c r="O62">
        <v>10.4515894</v>
      </c>
      <c r="P62" s="3">
        <f t="shared" si="9"/>
        <v>1076.0719116</v>
      </c>
      <c r="Q62" s="3">
        <f t="shared" si="10"/>
        <v>4069.3403813999998</v>
      </c>
      <c r="R62">
        <v>3192400</v>
      </c>
      <c r="S62">
        <f t="shared" si="11"/>
        <v>0.12746962728354844</v>
      </c>
    </row>
    <row r="63" spans="1:19" x14ac:dyDescent="0.2">
      <c r="A63">
        <v>70000</v>
      </c>
      <c r="B63">
        <v>0</v>
      </c>
      <c r="C63">
        <v>2135.0056</v>
      </c>
      <c r="D63">
        <v>0</v>
      </c>
      <c r="E63">
        <v>1146.8415</v>
      </c>
      <c r="F63">
        <v>0</v>
      </c>
      <c r="G63">
        <v>468.82331999999997</v>
      </c>
      <c r="H63">
        <v>2</v>
      </c>
      <c r="I63">
        <v>207.17256</v>
      </c>
      <c r="J63">
        <v>4</v>
      </c>
      <c r="K63">
        <v>80.238157999999999</v>
      </c>
      <c r="L63">
        <v>16</v>
      </c>
      <c r="M63">
        <v>29.577351999999998</v>
      </c>
      <c r="N63">
        <v>17</v>
      </c>
      <c r="O63">
        <v>10.4515894</v>
      </c>
      <c r="P63" s="3">
        <f t="shared" si="9"/>
        <v>1386.2124037999997</v>
      </c>
      <c r="Q63" s="3">
        <f>P64+P63</f>
        <v>2993.2684697999998</v>
      </c>
      <c r="R63">
        <v>3192400</v>
      </c>
      <c r="S63">
        <f t="shared" si="11"/>
        <v>9.3762325203608568E-2</v>
      </c>
    </row>
    <row r="64" spans="1:19" x14ac:dyDescent="0.2">
      <c r="A64" t="s">
        <v>4</v>
      </c>
      <c r="B64">
        <v>0</v>
      </c>
      <c r="C64">
        <v>2135.0056</v>
      </c>
      <c r="D64">
        <v>0</v>
      </c>
      <c r="E64">
        <v>1146.8415</v>
      </c>
      <c r="F64">
        <v>0</v>
      </c>
      <c r="G64">
        <v>468.82331999999997</v>
      </c>
      <c r="H64">
        <v>0</v>
      </c>
      <c r="I64">
        <v>207.17256</v>
      </c>
      <c r="J64">
        <v>13</v>
      </c>
      <c r="K64">
        <v>80.238157999999999</v>
      </c>
      <c r="L64">
        <v>12</v>
      </c>
      <c r="M64">
        <v>29.577351999999998</v>
      </c>
      <c r="N64">
        <v>20</v>
      </c>
      <c r="O64">
        <v>10.4515894</v>
      </c>
      <c r="P64" s="3">
        <f t="shared" si="9"/>
        <v>1607.0560660000001</v>
      </c>
      <c r="Q64" s="3">
        <f>P64</f>
        <v>1607.0560660000001</v>
      </c>
      <c r="R64">
        <v>3192400</v>
      </c>
      <c r="S64">
        <f>Q64/R64*100</f>
        <v>5.034005970429771E-2</v>
      </c>
    </row>
    <row r="65" spans="1:19" x14ac:dyDescent="0.2">
      <c r="A65" t="s">
        <v>3</v>
      </c>
      <c r="B65">
        <v>10</v>
      </c>
      <c r="C65">
        <v>2135.0056</v>
      </c>
      <c r="D65">
        <v>29</v>
      </c>
      <c r="E65">
        <v>1146.8415</v>
      </c>
      <c r="F65">
        <v>131</v>
      </c>
      <c r="G65">
        <v>468.82331999999997</v>
      </c>
      <c r="H65">
        <v>393</v>
      </c>
      <c r="I65">
        <v>207.17256</v>
      </c>
      <c r="J65">
        <v>970</v>
      </c>
      <c r="K65">
        <v>80.238157999999999</v>
      </c>
      <c r="L65">
        <v>1711</v>
      </c>
      <c r="M65">
        <v>29.577351999999998</v>
      </c>
      <c r="N65">
        <v>1714</v>
      </c>
      <c r="O65">
        <v>10.4515894</v>
      </c>
      <c r="P65" s="3">
        <f t="shared" si="9"/>
        <v>343795.01726360002</v>
      </c>
    </row>
    <row r="69" spans="1:19" ht="15" x14ac:dyDescent="0.25">
      <c r="A69" s="2" t="s">
        <v>24</v>
      </c>
    </row>
    <row r="70" spans="1:19" x14ac:dyDescent="0.2">
      <c r="G70" t="s">
        <v>25</v>
      </c>
    </row>
    <row r="72" spans="1:19" ht="15" x14ac:dyDescent="0.25">
      <c r="A72" t="s">
        <v>26</v>
      </c>
      <c r="B72" s="2" t="s">
        <v>27</v>
      </c>
      <c r="C72" t="s">
        <v>28</v>
      </c>
      <c r="D72" t="s">
        <v>29</v>
      </c>
      <c r="E72" t="s">
        <v>30</v>
      </c>
      <c r="F72" t="s">
        <v>31</v>
      </c>
      <c r="G72" t="s">
        <v>32</v>
      </c>
      <c r="H72" t="s">
        <v>33</v>
      </c>
      <c r="I72" t="s">
        <v>34</v>
      </c>
      <c r="J72" t="s">
        <v>35</v>
      </c>
      <c r="K72" s="2" t="s">
        <v>36</v>
      </c>
      <c r="L72" s="2" t="s">
        <v>37</v>
      </c>
      <c r="M72" s="5" t="s">
        <v>38</v>
      </c>
      <c r="N72" s="2" t="s">
        <v>39</v>
      </c>
      <c r="O72" s="5" t="s">
        <v>40</v>
      </c>
      <c r="P72" s="2" t="s">
        <v>41</v>
      </c>
      <c r="Q72" s="5" t="s">
        <v>42</v>
      </c>
      <c r="R72" s="2" t="s">
        <v>43</v>
      </c>
      <c r="S72" s="2" t="s">
        <v>84</v>
      </c>
    </row>
    <row r="73" spans="1:19" x14ac:dyDescent="0.2">
      <c r="A73" t="s">
        <v>4</v>
      </c>
      <c r="B73" s="14">
        <v>5.0000000000000001E-4</v>
      </c>
      <c r="C73" s="27" t="s">
        <v>87</v>
      </c>
      <c r="D73" s="5"/>
      <c r="E73" s="5"/>
      <c r="F73" s="5"/>
      <c r="G73" s="5"/>
      <c r="H73" s="5"/>
      <c r="I73" s="5"/>
      <c r="J73" s="5"/>
      <c r="K73" s="4">
        <v>1.9923038557643193</v>
      </c>
      <c r="L73" s="4">
        <v>2114.7731736138512</v>
      </c>
      <c r="M73" s="7">
        <f t="shared" ref="M73:M78" si="12">POWER(B73,1/K73)</f>
        <v>2.2034802728775126E-2</v>
      </c>
      <c r="N73" s="8">
        <f t="shared" ref="N73:N78" si="13">L73/M73</f>
        <v>95974.227663594225</v>
      </c>
      <c r="O73">
        <v>3192400</v>
      </c>
      <c r="P73" s="8">
        <f>O73*(K73/(1-K73))*POWER(L73,K73)*(-1)*POWER(N73,1-K73)</f>
        <v>307576272.14847106</v>
      </c>
      <c r="Q73" s="9">
        <f t="shared" ref="Q73:Q78" si="14">B73*O73</f>
        <v>1596.2</v>
      </c>
      <c r="R73" s="4">
        <f t="shared" ref="R73:R78" si="15">P73/Q73</f>
        <v>192692.81552967738</v>
      </c>
      <c r="S73" s="3">
        <f t="shared" ref="S73:S78" si="16">20.8289*P73*1.23</f>
        <v>7879964760.3925457</v>
      </c>
    </row>
    <row r="74" spans="1:19" x14ac:dyDescent="0.2">
      <c r="A74" t="s">
        <v>66</v>
      </c>
      <c r="B74" s="14">
        <v>1E-3</v>
      </c>
      <c r="C74" s="5">
        <f>S63/100</f>
        <v>9.3762325203608564E-4</v>
      </c>
      <c r="D74" s="5">
        <f>S62/100</f>
        <v>1.2746962728354843E-3</v>
      </c>
      <c r="E74" s="5">
        <v>70000</v>
      </c>
      <c r="F74" s="5">
        <v>60000</v>
      </c>
      <c r="G74" s="5">
        <f>D74/C74</f>
        <v>1.3594972928278297</v>
      </c>
      <c r="H74" s="5">
        <f>LN(G74)</f>
        <v>0.3071149937885379</v>
      </c>
      <c r="I74" s="5">
        <f>E74/F74</f>
        <v>1.1666666666666667</v>
      </c>
      <c r="J74" s="5">
        <f>LN(I74)</f>
        <v>0.15415067982725836</v>
      </c>
      <c r="K74" s="4">
        <f>H74/J74</f>
        <v>1.9923038557643193</v>
      </c>
      <c r="L74" s="4">
        <f>F74*(D74^(1/K74))</f>
        <v>2114.7731736138512</v>
      </c>
      <c r="M74" s="7">
        <f t="shared" si="12"/>
        <v>3.1203664125515403E-2</v>
      </c>
      <c r="N74" s="8">
        <f t="shared" si="13"/>
        <v>67773.232178992403</v>
      </c>
      <c r="O74">
        <v>3192400</v>
      </c>
      <c r="P74" s="8">
        <f>O74*(K74/(1-K74))*POWER(L74,K74)*(POWER(N73,1-K74)-POWER(N74,1-K74))+P73</f>
        <v>434396579.42617679</v>
      </c>
      <c r="Q74" s="9">
        <f t="shared" si="14"/>
        <v>3192.4</v>
      </c>
      <c r="R74" s="4">
        <f t="shared" si="15"/>
        <v>136072.10231367522</v>
      </c>
      <c r="S74" s="3">
        <f t="shared" si="16"/>
        <v>11129043583.248169</v>
      </c>
    </row>
    <row r="75" spans="1:19" x14ac:dyDescent="0.2">
      <c r="A75" t="s">
        <v>65</v>
      </c>
      <c r="B75" s="14">
        <v>2.5000000000000001E-3</v>
      </c>
      <c r="C75" s="5">
        <f>S61/100</f>
        <v>2.1561423369878458E-3</v>
      </c>
      <c r="D75" s="5">
        <f>S60/100</f>
        <v>3.312039378962536E-3</v>
      </c>
      <c r="E75" s="5">
        <v>50000</v>
      </c>
      <c r="F75" s="5">
        <v>40000</v>
      </c>
      <c r="G75" s="5">
        <f>D75/C75</f>
        <v>1.5360949609613856</v>
      </c>
      <c r="H75" s="5">
        <f>LN(G75)</f>
        <v>0.42924345635705274</v>
      </c>
      <c r="I75" s="5">
        <f>E75/F75</f>
        <v>1.25</v>
      </c>
      <c r="J75" s="5">
        <f>LN(I75)</f>
        <v>0.22314355131420976</v>
      </c>
      <c r="K75" s="4">
        <f>H75/J75</f>
        <v>1.9236202607201158</v>
      </c>
      <c r="L75" s="4">
        <f>F75*(D75^(1/K75))</f>
        <v>2055.2936855960684</v>
      </c>
      <c r="M75" s="7">
        <f t="shared" si="12"/>
        <v>4.4392641460383138E-2</v>
      </c>
      <c r="N75" s="8">
        <f t="shared" si="13"/>
        <v>46298.07143668738</v>
      </c>
      <c r="O75">
        <v>3192400</v>
      </c>
      <c r="P75" s="8">
        <f>O75*(K75/(1-K75))*POWER(L75,K75)*(POWER(N74,1-K75)-POWER(N75,1-K75))+P74</f>
        <v>662721234.20686078</v>
      </c>
      <c r="Q75" s="9">
        <f t="shared" si="14"/>
        <v>7981</v>
      </c>
      <c r="R75" s="4">
        <f t="shared" si="15"/>
        <v>83037.368024916781</v>
      </c>
      <c r="S75" s="3">
        <f t="shared" si="16"/>
        <v>16978617807.660679</v>
      </c>
    </row>
    <row r="76" spans="1:19" x14ac:dyDescent="0.2">
      <c r="A76" t="s">
        <v>46</v>
      </c>
      <c r="B76" s="14">
        <v>5.0000000000000001E-3</v>
      </c>
      <c r="C76" s="5">
        <f>S60/100</f>
        <v>3.312039378962536E-3</v>
      </c>
      <c r="D76" s="5">
        <f>S59/100</f>
        <v>6.8975439325272524E-3</v>
      </c>
      <c r="E76" s="5">
        <v>40000</v>
      </c>
      <c r="F76" s="5">
        <v>30000</v>
      </c>
      <c r="G76" s="5">
        <f>D76/C76</f>
        <v>2.0825670057968457</v>
      </c>
      <c r="H76" s="5">
        <f>LN(G76)</f>
        <v>0.73360127019398258</v>
      </c>
      <c r="I76" s="5">
        <f>E76/F76</f>
        <v>1.3333333333333333</v>
      </c>
      <c r="J76" s="5">
        <f>LN(I76)</f>
        <v>0.28768207245178085</v>
      </c>
      <c r="K76" s="4">
        <f>H76/J76</f>
        <v>2.5500416621092836</v>
      </c>
      <c r="L76" s="4">
        <f>F76*(D76^(1/K76))</f>
        <v>4261.5178135952883</v>
      </c>
      <c r="M76" s="7">
        <f t="shared" si="12"/>
        <v>0.12521317802725407</v>
      </c>
      <c r="N76" s="8">
        <f t="shared" si="13"/>
        <v>34034.099930501892</v>
      </c>
      <c r="O76">
        <v>3192400</v>
      </c>
      <c r="P76" s="8">
        <f>O76*(K76/(1-K76))*POWER(L76,K76)*(POWER(N75,1-K76)-POWER(N76,1-K76))+P75</f>
        <v>1001766883.9318417</v>
      </c>
      <c r="Q76" s="9">
        <f t="shared" si="14"/>
        <v>15962</v>
      </c>
      <c r="R76" s="4">
        <f t="shared" si="15"/>
        <v>62759.484020288292</v>
      </c>
      <c r="S76" s="3">
        <f t="shared" si="16"/>
        <v>25664813765.935364</v>
      </c>
    </row>
    <row r="77" spans="1:19" x14ac:dyDescent="0.2">
      <c r="A77" t="s">
        <v>67</v>
      </c>
      <c r="B77" s="14">
        <v>0.01</v>
      </c>
      <c r="C77" s="5">
        <f>S58/100</f>
        <v>8.8472356804285175E-3</v>
      </c>
      <c r="D77" s="5">
        <f>S57/100</f>
        <v>1.3383180209748151E-2</v>
      </c>
      <c r="E77" s="5">
        <v>25000</v>
      </c>
      <c r="F77" s="5">
        <v>20000</v>
      </c>
      <c r="G77" s="5">
        <f>D77/C77</f>
        <v>1.5126962469592462</v>
      </c>
      <c r="H77" s="5">
        <f>LN(G77)</f>
        <v>0.41389365256174904</v>
      </c>
      <c r="I77" s="5">
        <f>E77/F77</f>
        <v>1.25</v>
      </c>
      <c r="J77" s="5">
        <f>LN(I77)</f>
        <v>0.22314355131420976</v>
      </c>
      <c r="K77" s="4">
        <f>H77/J77</f>
        <v>1.8548313411887172</v>
      </c>
      <c r="L77" s="4">
        <f>F77*(D77^(1/K77))</f>
        <v>1954.3263971220856</v>
      </c>
      <c r="M77" s="7">
        <f t="shared" si="12"/>
        <v>8.3509300698138791E-2</v>
      </c>
      <c r="N77" s="8">
        <f t="shared" si="13"/>
        <v>23402.499850721928</v>
      </c>
      <c r="O77">
        <v>3192400</v>
      </c>
      <c r="P77" s="8">
        <f>O77*(K77/(1-K77))*POWER(L77,K77)*(POWER(N76,1-K77)-POWER(N77,1-K77))+P76</f>
        <v>1445878637.2132583</v>
      </c>
      <c r="Q77" s="9">
        <f t="shared" si="14"/>
        <v>31924</v>
      </c>
      <c r="R77" s="4">
        <f t="shared" si="15"/>
        <v>45291.274189113465</v>
      </c>
      <c r="S77" s="3">
        <f t="shared" si="16"/>
        <v>37042755702.38102</v>
      </c>
    </row>
    <row r="78" spans="1:19" x14ac:dyDescent="0.2">
      <c r="A78" t="s">
        <v>48</v>
      </c>
      <c r="B78" s="14">
        <v>0.02</v>
      </c>
      <c r="C78" s="5">
        <f>S57/100</f>
        <v>1.3383180209748151E-2</v>
      </c>
      <c r="D78" s="5">
        <f>S56/100</f>
        <v>2.129282615236186E-2</v>
      </c>
      <c r="E78" s="5">
        <v>20000</v>
      </c>
      <c r="F78" s="5">
        <v>15000</v>
      </c>
      <c r="G78" s="5">
        <f>D78/C78</f>
        <v>1.5910139308183577</v>
      </c>
      <c r="H78" s="5">
        <f>LN(G78)</f>
        <v>0.46437150533136878</v>
      </c>
      <c r="I78" s="5">
        <f>E78/F78</f>
        <v>1.3333333333333333</v>
      </c>
      <c r="J78" s="5">
        <f>LN(I78)</f>
        <v>0.28768207245178085</v>
      </c>
      <c r="K78" s="4">
        <f>H78/J78</f>
        <v>1.6141829811421542</v>
      </c>
      <c r="L78" s="4">
        <f>F78*(D78^(1/K78))</f>
        <v>1381.7124270840286</v>
      </c>
      <c r="M78" s="7">
        <f t="shared" si="12"/>
        <v>8.8608160863624622E-2</v>
      </c>
      <c r="N78" s="8">
        <f t="shared" si="13"/>
        <v>15593.512083052934</v>
      </c>
      <c r="O78">
        <v>3192400</v>
      </c>
      <c r="P78" s="8">
        <f>O78*(K78/(1-K78))*POWER(L78,K78)*(POWER(N77,1-K78)-POWER(N78,1-K78))+P77</f>
        <v>2023357085.5106285</v>
      </c>
      <c r="Q78" s="9">
        <f t="shared" si="14"/>
        <v>63848</v>
      </c>
      <c r="R78" s="4">
        <f t="shared" si="15"/>
        <v>31690.218730588716</v>
      </c>
      <c r="S78" s="3">
        <f t="shared" si="16"/>
        <v>51837491950.022568</v>
      </c>
    </row>
    <row r="81" spans="1:6" ht="15" x14ac:dyDescent="0.25">
      <c r="A81" s="15" t="s">
        <v>60</v>
      </c>
      <c r="B81" s="16"/>
    </row>
    <row r="82" spans="1:6" ht="15" x14ac:dyDescent="0.25">
      <c r="A82" s="2" t="s">
        <v>61</v>
      </c>
    </row>
    <row r="84" spans="1:6" ht="15" x14ac:dyDescent="0.25">
      <c r="A84" s="2" t="s">
        <v>27</v>
      </c>
      <c r="B84" s="2" t="s">
        <v>62</v>
      </c>
      <c r="C84" s="2" t="s">
        <v>88</v>
      </c>
      <c r="D84" s="17"/>
      <c r="E84" s="17"/>
      <c r="F84" s="2" t="s">
        <v>63</v>
      </c>
    </row>
    <row r="85" spans="1:6" ht="15" x14ac:dyDescent="0.25">
      <c r="A85" s="18">
        <v>5.0000000000000001E-4</v>
      </c>
      <c r="B85" s="3">
        <f t="shared" ref="B85:B90" si="17">S32+S73</f>
        <v>17516345751.482838</v>
      </c>
      <c r="C85">
        <f t="shared" ref="C85:C90" si="18">743350000000*1.23</f>
        <v>914320500000</v>
      </c>
      <c r="F85" s="10">
        <f t="shared" ref="F85:F90" si="19">B85/C85*100</f>
        <v>1.9157774272241339</v>
      </c>
    </row>
    <row r="86" spans="1:6" ht="15" x14ac:dyDescent="0.25">
      <c r="A86" s="18">
        <v>1E-3</v>
      </c>
      <c r="B86" s="3">
        <f t="shared" si="17"/>
        <v>25942774885.007866</v>
      </c>
      <c r="C86">
        <f t="shared" si="18"/>
        <v>914320500000</v>
      </c>
      <c r="F86" s="10">
        <f t="shared" si="19"/>
        <v>2.837383049489524</v>
      </c>
    </row>
    <row r="87" spans="1:6" ht="15" x14ac:dyDescent="0.25">
      <c r="A87" s="18">
        <v>2.5000000000000001E-3</v>
      </c>
      <c r="B87" s="3">
        <f t="shared" si="17"/>
        <v>43132441789.81369</v>
      </c>
      <c r="C87">
        <f t="shared" si="18"/>
        <v>914320500000</v>
      </c>
      <c r="F87" s="10">
        <f t="shared" si="19"/>
        <v>4.7174313372404626</v>
      </c>
    </row>
    <row r="88" spans="1:6" ht="15" x14ac:dyDescent="0.25">
      <c r="A88" s="18">
        <v>5.0000000000000001E-3</v>
      </c>
      <c r="B88" s="3">
        <f t="shared" si="17"/>
        <v>65983077326.403107</v>
      </c>
      <c r="C88">
        <f t="shared" si="18"/>
        <v>914320500000</v>
      </c>
      <c r="F88" s="10">
        <f t="shared" si="19"/>
        <v>7.2166245125645885</v>
      </c>
    </row>
    <row r="89" spans="1:6" ht="15" x14ac:dyDescent="0.25">
      <c r="A89" s="19">
        <v>0.01</v>
      </c>
      <c r="B89" s="3">
        <f t="shared" si="17"/>
        <v>99649261444.37822</v>
      </c>
      <c r="C89">
        <f t="shared" si="18"/>
        <v>914320500000</v>
      </c>
      <c r="F89" s="10">
        <f t="shared" si="19"/>
        <v>10.898723308115505</v>
      </c>
    </row>
    <row r="90" spans="1:6" ht="15" x14ac:dyDescent="0.25">
      <c r="A90" s="19">
        <v>0.02</v>
      </c>
      <c r="B90" s="3">
        <f t="shared" si="17"/>
        <v>142003807558.81433</v>
      </c>
      <c r="C90">
        <f t="shared" si="18"/>
        <v>914320500000</v>
      </c>
      <c r="F90" s="10">
        <f t="shared" si="19"/>
        <v>15.531075542855524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32</vt:i4>
      </vt:variant>
    </vt:vector>
  </HeadingPairs>
  <TitlesOfParts>
    <vt:vector size="32" baseType="lpstr">
      <vt:lpstr>1915</vt:lpstr>
      <vt:lpstr>1953-54</vt:lpstr>
      <vt:lpstr>1954-55</vt:lpstr>
      <vt:lpstr>1955-56</vt:lpstr>
      <vt:lpstr>1956-57</vt:lpstr>
      <vt:lpstr>1957-58</vt:lpstr>
      <vt:lpstr>1958-59</vt:lpstr>
      <vt:lpstr>1959-60</vt:lpstr>
      <vt:lpstr>1960-61</vt:lpstr>
      <vt:lpstr>1961-62</vt:lpstr>
      <vt:lpstr>1962-63</vt:lpstr>
      <vt:lpstr>1963-64</vt:lpstr>
      <vt:lpstr>1964-65</vt:lpstr>
      <vt:lpstr>1965-66</vt:lpstr>
      <vt:lpstr>1966</vt:lpstr>
      <vt:lpstr>1966-67</vt:lpstr>
      <vt:lpstr>1967-68</vt:lpstr>
      <vt:lpstr>1968-69</vt:lpstr>
      <vt:lpstr>1969-70</vt:lpstr>
      <vt:lpstr>1970-71</vt:lpstr>
      <vt:lpstr>1971-72</vt:lpstr>
      <vt:lpstr>1972-73</vt:lpstr>
      <vt:lpstr>1973-74</vt:lpstr>
      <vt:lpstr>1974-75</vt:lpstr>
      <vt:lpstr>1975-76</vt:lpstr>
      <vt:lpstr>1976-77</vt:lpstr>
      <vt:lpstr>1977-78</vt:lpstr>
      <vt:lpstr>1978-79</vt:lpstr>
      <vt:lpstr>2006</vt:lpstr>
      <vt:lpstr>2002</vt:lpstr>
      <vt:lpstr>2010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Leigh</dc:creator>
  <cp:lastModifiedBy>Pamela Katic</cp:lastModifiedBy>
  <dcterms:created xsi:type="dcterms:W3CDTF">2008-01-11T03:45:52Z</dcterms:created>
  <dcterms:modified xsi:type="dcterms:W3CDTF">2013-01-20T12:45:49Z</dcterms:modified>
</cp:coreProperties>
</file>